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MSc Finance\Sem 2\Equity Analysis\Assignment\Final Submission\"/>
    </mc:Choice>
  </mc:AlternateContent>
  <xr:revisionPtr revIDLastSave="0" documentId="13_ncr:1_{DF6891E3-FBAA-458D-9DA5-92115FA8D9CC}" xr6:coauthVersionLast="47" xr6:coauthVersionMax="47" xr10:uidLastSave="{00000000-0000-0000-0000-000000000000}"/>
  <bookViews>
    <workbookView xWindow="-120" yWindow="-120" windowWidth="20730" windowHeight="11160" firstSheet="5" activeTab="8" xr2:uid="{EAADE376-F623-409B-B735-D416D7B142AE}"/>
  </bookViews>
  <sheets>
    <sheet name="Financial Statements" sheetId="3" r:id="rId1"/>
    <sheet name="Income Statement Standard " sheetId="7" r:id="rId2"/>
    <sheet name="Standardized Income Statement" sheetId="42" r:id="rId3"/>
    <sheet name="Balance Sheet Standard" sheetId="8" r:id="rId4"/>
    <sheet name="Standardized Balance Sheet" sheetId="21" r:id="rId5"/>
    <sheet name="Standard Cash Flows" sheetId="10" r:id="rId6"/>
    <sheet name="Standardized Cash Flows  " sheetId="17" r:id="rId7"/>
    <sheet name="Appendix Statements" sheetId="13" r:id="rId8"/>
    <sheet name="Ratio Analysis" sheetId="19" r:id="rId9"/>
    <sheet name="Revnue Projections" sheetId="38" r:id="rId10"/>
    <sheet name="Forecasts" sheetId="22" r:id="rId11"/>
    <sheet name="Valuation" sheetId="43" r:id="rId12"/>
    <sheet name="Trading Multiples" sheetId="33" r:id="rId13"/>
  </sheets>
  <externalReferences>
    <externalReference r:id="rId14"/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2" l="1"/>
  <c r="B22" i="43" l="1"/>
  <c r="B46" i="43" l="1"/>
  <c r="B20" i="43" l="1"/>
  <c r="C22" i="38"/>
  <c r="B9" i="43"/>
  <c r="B8" i="43"/>
  <c r="B52" i="43"/>
  <c r="F37" i="43"/>
  <c r="E37" i="43"/>
  <c r="D37" i="43"/>
  <c r="C37" i="43"/>
  <c r="F36" i="43"/>
  <c r="E36" i="43"/>
  <c r="D36" i="43"/>
  <c r="C36" i="43"/>
  <c r="F32" i="43"/>
  <c r="F47" i="43" s="1"/>
  <c r="E32" i="43"/>
  <c r="E47" i="43" s="1"/>
  <c r="D32" i="43"/>
  <c r="D47" i="43" s="1"/>
  <c r="C32" i="43"/>
  <c r="C47" i="43" s="1"/>
  <c r="F28" i="43"/>
  <c r="E28" i="43"/>
  <c r="D28" i="43"/>
  <c r="C28" i="43"/>
  <c r="B28" i="43"/>
  <c r="F26" i="43"/>
  <c r="F27" i="43" s="1"/>
  <c r="E26" i="43"/>
  <c r="E27" i="43" s="1"/>
  <c r="D26" i="43"/>
  <c r="D27" i="43" s="1"/>
  <c r="C26" i="43"/>
  <c r="C27" i="43" s="1"/>
  <c r="B26" i="43"/>
  <c r="B27" i="43" s="1"/>
  <c r="F23" i="43"/>
  <c r="E23" i="43"/>
  <c r="D23" i="43"/>
  <c r="C23" i="43"/>
  <c r="F22" i="43"/>
  <c r="F46" i="43" s="1"/>
  <c r="E22" i="43"/>
  <c r="E46" i="43" s="1"/>
  <c r="D22" i="43"/>
  <c r="D46" i="43" s="1"/>
  <c r="C22" i="43"/>
  <c r="C46" i="43" s="1"/>
  <c r="F21" i="43"/>
  <c r="E21" i="43"/>
  <c r="D21" i="43"/>
  <c r="C21" i="43"/>
  <c r="F20" i="43"/>
  <c r="E20" i="43"/>
  <c r="D20" i="43"/>
  <c r="C20" i="43"/>
  <c r="B13" i="43"/>
  <c r="B12" i="43"/>
  <c r="B2" i="43"/>
  <c r="B32" i="43" s="1"/>
  <c r="B7" i="43" l="1"/>
  <c r="D48" i="43"/>
  <c r="C48" i="43"/>
  <c r="E48" i="43"/>
  <c r="B11" i="43"/>
  <c r="F48" i="43"/>
  <c r="B53" i="43" l="1"/>
  <c r="B33" i="43"/>
  <c r="B47" i="43"/>
  <c r="B48" i="43" s="1"/>
  <c r="B50" i="43" s="1"/>
  <c r="D33" i="43"/>
  <c r="F29" i="43"/>
  <c r="B29" i="43"/>
  <c r="F33" i="43"/>
  <c r="C33" i="43"/>
  <c r="E29" i="43"/>
  <c r="D29" i="43"/>
  <c r="E33" i="43"/>
  <c r="C29" i="43"/>
  <c r="B54" i="43"/>
  <c r="B57" i="43" l="1"/>
  <c r="B56" i="43"/>
  <c r="B58" i="43"/>
  <c r="B60" i="43" s="1"/>
  <c r="B62" i="43" s="1"/>
  <c r="D22" i="38" l="1"/>
  <c r="E22" i="38"/>
  <c r="F22" i="38"/>
  <c r="D19" i="38"/>
  <c r="E19" i="38"/>
  <c r="F19" i="38"/>
  <c r="C19" i="38"/>
  <c r="C66" i="19"/>
  <c r="D66" i="19"/>
  <c r="E66" i="19"/>
  <c r="B66" i="19"/>
  <c r="C64" i="19"/>
  <c r="D64" i="19"/>
  <c r="E64" i="19"/>
  <c r="B64" i="19"/>
  <c r="C47" i="19"/>
  <c r="D47" i="19"/>
  <c r="E47" i="19"/>
  <c r="B47" i="19"/>
  <c r="K9" i="13"/>
  <c r="L9" i="13" s="1"/>
  <c r="M9" i="13" s="1"/>
  <c r="K7" i="13"/>
  <c r="L7" i="13" s="1"/>
  <c r="K3" i="13"/>
  <c r="L3" i="13" s="1"/>
  <c r="C2" i="42"/>
  <c r="D2" i="42"/>
  <c r="E2" i="42"/>
  <c r="F2" i="42"/>
  <c r="N9" i="13" l="1"/>
  <c r="O9" i="13" s="1"/>
  <c r="M7" i="13"/>
  <c r="M3" i="13"/>
  <c r="N3" i="13" s="1"/>
  <c r="O3" i="13" s="1"/>
  <c r="N7" i="13"/>
  <c r="O7" i="13" s="1"/>
  <c r="N25" i="33"/>
  <c r="G4" i="22" l="1"/>
  <c r="C2" i="22"/>
  <c r="D2" i="22"/>
  <c r="E2" i="22"/>
  <c r="F2" i="22"/>
  <c r="B2" i="22"/>
  <c r="G4" i="38"/>
  <c r="C16" i="38"/>
  <c r="D16" i="38"/>
  <c r="E16" i="38"/>
  <c r="C13" i="38"/>
  <c r="D13" i="38"/>
  <c r="E13" i="38"/>
  <c r="C10" i="38"/>
  <c r="D10" i="38"/>
  <c r="E10" i="38"/>
  <c r="F16" i="38" l="1"/>
  <c r="F13" i="38"/>
  <c r="F10" i="38"/>
  <c r="B26" i="38"/>
  <c r="B25" i="38"/>
  <c r="B23" i="38"/>
  <c r="B22" i="38"/>
  <c r="B20" i="38"/>
  <c r="B17" i="38"/>
  <c r="B16" i="38"/>
  <c r="B14" i="38"/>
  <c r="B13" i="38"/>
  <c r="B11" i="38"/>
  <c r="B10" i="38"/>
  <c r="B8" i="38"/>
  <c r="B7" i="38"/>
  <c r="B4" i="38"/>
  <c r="B2" i="38"/>
  <c r="F7" i="33"/>
  <c r="C28" i="33"/>
  <c r="P23" i="33"/>
  <c r="O23" i="33"/>
  <c r="N23" i="33"/>
  <c r="B21" i="33"/>
  <c r="F12" i="33"/>
  <c r="H12" i="33" s="1"/>
  <c r="F11" i="33"/>
  <c r="P11" i="33" s="1"/>
  <c r="F10" i="33"/>
  <c r="H10" i="33" s="1"/>
  <c r="F9" i="33"/>
  <c r="P9" i="33" s="1"/>
  <c r="F8" i="33"/>
  <c r="H8" i="33" s="1"/>
  <c r="H11" i="33" l="1"/>
  <c r="N11" i="33" s="1"/>
  <c r="H9" i="33"/>
  <c r="O9" i="33" s="1"/>
  <c r="O10" i="33"/>
  <c r="N10" i="33"/>
  <c r="O12" i="33"/>
  <c r="N12" i="33"/>
  <c r="O8" i="33"/>
  <c r="N8" i="33"/>
  <c r="P10" i="33"/>
  <c r="O25" i="33"/>
  <c r="P25" i="33"/>
  <c r="P8" i="33"/>
  <c r="P12" i="33"/>
  <c r="O11" i="33" l="1"/>
  <c r="N9" i="33"/>
  <c r="N18" i="33" s="1"/>
  <c r="P16" i="33"/>
  <c r="P17" i="33"/>
  <c r="P24" i="33" s="1"/>
  <c r="P18" i="33"/>
  <c r="P14" i="33"/>
  <c r="P19" i="33"/>
  <c r="P15" i="33"/>
  <c r="N14" i="33"/>
  <c r="N19" i="33"/>
  <c r="N15" i="33"/>
  <c r="N16" i="33"/>
  <c r="N17" i="33"/>
  <c r="N22" i="33" s="1"/>
  <c r="N24" i="33" s="1"/>
  <c r="N26" i="33" s="1"/>
  <c r="C29" i="33" s="1"/>
  <c r="P7" i="33"/>
  <c r="H7" i="33"/>
  <c r="O19" i="33"/>
  <c r="O15" i="33"/>
  <c r="O16" i="33"/>
  <c r="O17" i="33"/>
  <c r="O22" i="33" s="1"/>
  <c r="O24" i="33" s="1"/>
  <c r="O26" i="33" s="1"/>
  <c r="O18" i="33"/>
  <c r="O14" i="33"/>
  <c r="C30" i="33" l="1"/>
  <c r="P26" i="33"/>
  <c r="P22" i="33"/>
  <c r="N7" i="33"/>
  <c r="O7" i="33"/>
  <c r="K55" i="13" l="1"/>
  <c r="C72" i="19" l="1"/>
  <c r="D72" i="19"/>
  <c r="E72" i="19"/>
  <c r="B72" i="19"/>
  <c r="K38" i="13"/>
  <c r="K39" i="13"/>
  <c r="L39" i="13" s="1"/>
  <c r="M39" i="13" s="1"/>
  <c r="N39" i="13" s="1"/>
  <c r="O39" i="13" s="1"/>
  <c r="K40" i="13"/>
  <c r="L40" i="13" s="1"/>
  <c r="M40" i="13" s="1"/>
  <c r="N40" i="13" s="1"/>
  <c r="O40" i="13" s="1"/>
  <c r="K42" i="13"/>
  <c r="L42" i="13" s="1"/>
  <c r="M42" i="13" s="1"/>
  <c r="N42" i="13" s="1"/>
  <c r="O42" i="13" s="1"/>
  <c r="K43" i="13"/>
  <c r="L43" i="13" s="1"/>
  <c r="M43" i="13" s="1"/>
  <c r="N43" i="13" s="1"/>
  <c r="O43" i="13" s="1"/>
  <c r="K44" i="13"/>
  <c r="L44" i="13" s="1"/>
  <c r="M44" i="13" s="1"/>
  <c r="N44" i="13" s="1"/>
  <c r="O44" i="13" s="1"/>
  <c r="K45" i="13"/>
  <c r="L45" i="13" s="1"/>
  <c r="M45" i="13" s="1"/>
  <c r="N45" i="13" s="1"/>
  <c r="O45" i="13" s="1"/>
  <c r="K46" i="13"/>
  <c r="L46" i="13" s="1"/>
  <c r="M46" i="13" s="1"/>
  <c r="N46" i="13" s="1"/>
  <c r="O46" i="13" s="1"/>
  <c r="K47" i="13"/>
  <c r="L47" i="13" s="1"/>
  <c r="M47" i="13" s="1"/>
  <c r="N47" i="13" s="1"/>
  <c r="O47" i="13" s="1"/>
  <c r="K37" i="13"/>
  <c r="K23" i="13"/>
  <c r="K24" i="13"/>
  <c r="L24" i="13" s="1"/>
  <c r="M24" i="13" s="1"/>
  <c r="N24" i="13" s="1"/>
  <c r="O24" i="13" s="1"/>
  <c r="K25" i="13"/>
  <c r="L25" i="13" s="1"/>
  <c r="M25" i="13" s="1"/>
  <c r="N25" i="13" s="1"/>
  <c r="O25" i="13" s="1"/>
  <c r="K26" i="13"/>
  <c r="L26" i="13" s="1"/>
  <c r="M26" i="13" s="1"/>
  <c r="N26" i="13" s="1"/>
  <c r="O26" i="13" s="1"/>
  <c r="K28" i="13"/>
  <c r="L28" i="13" s="1"/>
  <c r="M28" i="13" s="1"/>
  <c r="N28" i="13" s="1"/>
  <c r="O28" i="13" s="1"/>
  <c r="K29" i="13"/>
  <c r="L29" i="13" s="1"/>
  <c r="M29" i="13" s="1"/>
  <c r="N29" i="13" s="1"/>
  <c r="O29" i="13" s="1"/>
  <c r="K30" i="13"/>
  <c r="L30" i="13" s="1"/>
  <c r="M30" i="13" s="1"/>
  <c r="N30" i="13" s="1"/>
  <c r="O30" i="13" s="1"/>
  <c r="K31" i="13"/>
  <c r="L31" i="13" s="1"/>
  <c r="M31" i="13" s="1"/>
  <c r="N31" i="13" s="1"/>
  <c r="O31" i="13" s="1"/>
  <c r="K32" i="13"/>
  <c r="L32" i="13" s="1"/>
  <c r="M32" i="13" s="1"/>
  <c r="N32" i="13" s="1"/>
  <c r="O32" i="13" s="1"/>
  <c r="K33" i="13"/>
  <c r="L33" i="13" s="1"/>
  <c r="M33" i="13" s="1"/>
  <c r="N33" i="13" s="1"/>
  <c r="O33" i="13" s="1"/>
  <c r="K34" i="13"/>
  <c r="L34" i="13" s="1"/>
  <c r="M34" i="13" s="1"/>
  <c r="N34" i="13" s="1"/>
  <c r="O34" i="13" s="1"/>
  <c r="K22" i="13"/>
  <c r="C2" i="21"/>
  <c r="D2" i="21"/>
  <c r="E2" i="21"/>
  <c r="F2" i="21"/>
  <c r="M4" i="13" l="1"/>
  <c r="L18" i="13"/>
  <c r="L4" i="13" s="1"/>
  <c r="M18" i="13"/>
  <c r="N18" i="13"/>
  <c r="N4" i="13" s="1"/>
  <c r="O18" i="13"/>
  <c r="O4" i="13" s="1"/>
  <c r="K18" i="13"/>
  <c r="K4" i="13" s="1"/>
  <c r="B28" i="13" l="1"/>
  <c r="F15" i="13" l="1"/>
  <c r="F16" i="13" s="1"/>
  <c r="F13" i="13" s="1"/>
  <c r="E15" i="13"/>
  <c r="E16" i="13" s="1"/>
  <c r="E13" i="13" s="1"/>
  <c r="D15" i="13"/>
  <c r="D16" i="13" s="1"/>
  <c r="D13" i="13" s="1"/>
  <c r="C15" i="13"/>
  <c r="C16" i="13" s="1"/>
  <c r="C13" i="13" s="1"/>
  <c r="B15" i="13"/>
  <c r="B16" i="13" s="1"/>
  <c r="B13" i="13" s="1"/>
  <c r="B11" i="13"/>
  <c r="B12" i="13" s="1"/>
  <c r="B9" i="13" s="1"/>
  <c r="F11" i="13"/>
  <c r="F12" i="13" s="1"/>
  <c r="F9" i="13" s="1"/>
  <c r="E11" i="13"/>
  <c r="E12" i="13" s="1"/>
  <c r="E9" i="13" s="1"/>
  <c r="D11" i="13"/>
  <c r="D12" i="13" s="1"/>
  <c r="D9" i="13" s="1"/>
  <c r="C11" i="13"/>
  <c r="C12" i="13" s="1"/>
  <c r="C9" i="13" s="1"/>
  <c r="B19" i="13"/>
  <c r="F19" i="13"/>
  <c r="E19" i="13"/>
  <c r="D19" i="13"/>
  <c r="C19" i="13"/>
  <c r="K61" i="13"/>
  <c r="K63" i="13"/>
  <c r="L63" i="13" s="1"/>
  <c r="M63" i="13" s="1"/>
  <c r="N63" i="13" s="1"/>
  <c r="O63" i="13" s="1"/>
  <c r="F71" i="13" s="1"/>
  <c r="K60" i="13"/>
  <c r="K58" i="13"/>
  <c r="K56" i="13"/>
  <c r="B65" i="13" s="1"/>
  <c r="B61" i="13"/>
  <c r="K51" i="13"/>
  <c r="B58" i="13" s="1"/>
  <c r="K52" i="13"/>
  <c r="L52" i="13" s="1"/>
  <c r="M52" i="13" s="1"/>
  <c r="N52" i="13" s="1"/>
  <c r="O52" i="13" s="1"/>
  <c r="F59" i="13" s="1"/>
  <c r="K50" i="13"/>
  <c r="F48" i="13"/>
  <c r="F37" i="13"/>
  <c r="F38" i="13"/>
  <c r="F51" i="13"/>
  <c r="F53" i="13" s="1"/>
  <c r="F32" i="13"/>
  <c r="F29" i="13"/>
  <c r="F30" i="13"/>
  <c r="F7" i="38" l="1"/>
  <c r="G7" i="38" s="1"/>
  <c r="K59" i="13"/>
  <c r="K64" i="13" s="1"/>
  <c r="B39" i="19"/>
  <c r="B40" i="19"/>
  <c r="B45" i="19"/>
  <c r="B44" i="19"/>
  <c r="B43" i="19"/>
  <c r="B35" i="19"/>
  <c r="B57" i="13"/>
  <c r="B42" i="13"/>
  <c r="B36" i="13"/>
  <c r="D37" i="13"/>
  <c r="E51" i="13"/>
  <c r="E53" i="13" s="1"/>
  <c r="E79" i="19" s="1"/>
  <c r="D59" i="13"/>
  <c r="B35" i="13"/>
  <c r="E37" i="13"/>
  <c r="C59" i="13"/>
  <c r="B59" i="13"/>
  <c r="B67" i="13"/>
  <c r="B38" i="13"/>
  <c r="B48" i="13"/>
  <c r="C38" i="13"/>
  <c r="C48" i="13"/>
  <c r="B71" i="13"/>
  <c r="D38" i="13"/>
  <c r="B27" i="13"/>
  <c r="B41" i="13" s="1"/>
  <c r="D48" i="13"/>
  <c r="B51" i="13"/>
  <c r="B53" i="13" s="1"/>
  <c r="C71" i="13"/>
  <c r="B37" i="13"/>
  <c r="E38" i="13"/>
  <c r="B47" i="13"/>
  <c r="E48" i="13"/>
  <c r="C51" i="13"/>
  <c r="C53" i="13" s="1"/>
  <c r="D71" i="13"/>
  <c r="C37" i="13"/>
  <c r="D51" i="13"/>
  <c r="D53" i="13" s="1"/>
  <c r="E59" i="13"/>
  <c r="B68" i="13"/>
  <c r="E71" i="13"/>
  <c r="B30" i="13"/>
  <c r="E29" i="13"/>
  <c r="C30" i="13"/>
  <c r="D30" i="13"/>
  <c r="B32" i="13"/>
  <c r="B18" i="13"/>
  <c r="B20" i="13" s="1"/>
  <c r="B29" i="13"/>
  <c r="E30" i="13"/>
  <c r="C32" i="13"/>
  <c r="C29" i="13"/>
  <c r="D32" i="13"/>
  <c r="D29" i="13"/>
  <c r="B31" i="13"/>
  <c r="E32" i="13"/>
  <c r="B3" i="13"/>
  <c r="K5" i="13"/>
  <c r="F11" i="38" l="1"/>
  <c r="F14" i="38"/>
  <c r="F25" i="38"/>
  <c r="F26" i="38" s="1"/>
  <c r="F20" i="38"/>
  <c r="F17" i="38"/>
  <c r="B25" i="22"/>
  <c r="C25" i="22" s="1"/>
  <c r="B21" i="22"/>
  <c r="B79" i="19"/>
  <c r="C79" i="19"/>
  <c r="D79" i="19"/>
  <c r="C65" i="19"/>
  <c r="C10" i="19"/>
  <c r="B65" i="19"/>
  <c r="E65" i="19"/>
  <c r="B39" i="13"/>
  <c r="B16" i="22" s="1"/>
  <c r="D10" i="19"/>
  <c r="D65" i="19"/>
  <c r="B10" i="19"/>
  <c r="B34" i="19"/>
  <c r="B8" i="19"/>
  <c r="K8" i="13"/>
  <c r="B60" i="13"/>
  <c r="B62" i="13" s="1"/>
  <c r="B75" i="19" s="1"/>
  <c r="B49" i="13"/>
  <c r="B20" i="22" s="1"/>
  <c r="B43" i="13"/>
  <c r="B17" i="22" s="1"/>
  <c r="B27" i="22" s="1"/>
  <c r="C35" i="13"/>
  <c r="B58" i="19" s="1"/>
  <c r="B61" i="19" s="1"/>
  <c r="C36" i="13"/>
  <c r="C42" i="13"/>
  <c r="B7" i="13"/>
  <c r="B8" i="13" s="1"/>
  <c r="B15" i="19" s="1"/>
  <c r="B51" i="19" s="1"/>
  <c r="B17" i="13"/>
  <c r="B33" i="13"/>
  <c r="C15" i="22" l="1"/>
  <c r="C17" i="22"/>
  <c r="B42" i="22" s="1"/>
  <c r="C16" i="22"/>
  <c r="B41" i="22" s="1"/>
  <c r="B48" i="22" s="1"/>
  <c r="B15" i="22"/>
  <c r="B18" i="22" s="1"/>
  <c r="H7" i="38"/>
  <c r="K10" i="13"/>
  <c r="B82" i="19" s="1"/>
  <c r="F23" i="38"/>
  <c r="B29" i="22"/>
  <c r="B22" i="22"/>
  <c r="C27" i="22"/>
  <c r="D16" i="22"/>
  <c r="D17" i="22"/>
  <c r="D25" i="22"/>
  <c r="D15" i="22"/>
  <c r="B54" i="13"/>
  <c r="B66" i="13"/>
  <c r="B69" i="13" s="1"/>
  <c r="B72" i="13" s="1"/>
  <c r="B37" i="19"/>
  <c r="B50" i="19" s="1"/>
  <c r="B49" i="19"/>
  <c r="B44" i="13"/>
  <c r="B4" i="13"/>
  <c r="D42" i="13"/>
  <c r="B21" i="13"/>
  <c r="D36" i="13"/>
  <c r="C39" i="13"/>
  <c r="B57" i="19" s="1"/>
  <c r="B60" i="19" s="1"/>
  <c r="D35" i="13"/>
  <c r="C42" i="22" l="1"/>
  <c r="C41" i="22"/>
  <c r="C48" i="22" s="1"/>
  <c r="C18" i="22"/>
  <c r="C20" i="22" s="1"/>
  <c r="B43" i="22" s="1"/>
  <c r="B40" i="22"/>
  <c r="B47" i="22" s="1"/>
  <c r="B35" i="22"/>
  <c r="I7" i="38"/>
  <c r="D27" i="22"/>
  <c r="C40" i="22"/>
  <c r="C47" i="22" s="1"/>
  <c r="C35" i="22"/>
  <c r="D18" i="22"/>
  <c r="E25" i="22"/>
  <c r="E15" i="22"/>
  <c r="E16" i="22"/>
  <c r="D41" i="22" s="1"/>
  <c r="D48" i="22" s="1"/>
  <c r="E17" i="22"/>
  <c r="D42" i="22" s="1"/>
  <c r="C21" i="22"/>
  <c r="B37" i="22" s="1"/>
  <c r="E10" i="19"/>
  <c r="B41" i="19"/>
  <c r="B7" i="19"/>
  <c r="B3" i="19"/>
  <c r="B86" i="19" s="1"/>
  <c r="B88" i="19" s="1"/>
  <c r="D39" i="13"/>
  <c r="F36" i="13"/>
  <c r="E36" i="13"/>
  <c r="F35" i="13"/>
  <c r="E35" i="13"/>
  <c r="F42" i="13"/>
  <c r="E42" i="13"/>
  <c r="J7" i="38" l="1"/>
  <c r="C29" i="22"/>
  <c r="C22" i="22"/>
  <c r="E27" i="22"/>
  <c r="E18" i="22"/>
  <c r="D35" i="22"/>
  <c r="D40" i="22"/>
  <c r="D47" i="22" s="1"/>
  <c r="F17" i="22"/>
  <c r="E42" i="22" s="1"/>
  <c r="F25" i="22"/>
  <c r="F16" i="22"/>
  <c r="E41" i="22" s="1"/>
  <c r="E48" i="22" s="1"/>
  <c r="F15" i="22"/>
  <c r="D21" i="22"/>
  <c r="C37" i="22" s="1"/>
  <c r="D20" i="22"/>
  <c r="C43" i="22" s="1"/>
  <c r="B9" i="19"/>
  <c r="B11" i="19" s="1"/>
  <c r="B52" i="19"/>
  <c r="F39" i="13"/>
  <c r="E39" i="13"/>
  <c r="G38" i="10"/>
  <c r="F38" i="10"/>
  <c r="E38" i="10"/>
  <c r="D38" i="10"/>
  <c r="C38" i="10"/>
  <c r="G29" i="10"/>
  <c r="F29" i="10"/>
  <c r="E29" i="10"/>
  <c r="D29" i="10"/>
  <c r="C29" i="10"/>
  <c r="G20" i="10"/>
  <c r="F20" i="10"/>
  <c r="E20" i="10"/>
  <c r="D20" i="10"/>
  <c r="C20" i="10"/>
  <c r="G38" i="8"/>
  <c r="F38" i="8"/>
  <c r="E38" i="8"/>
  <c r="D38" i="8"/>
  <c r="C38" i="8"/>
  <c r="G24" i="8"/>
  <c r="G29" i="8" s="1"/>
  <c r="G39" i="8" s="1"/>
  <c r="F24" i="8"/>
  <c r="F29" i="8" s="1"/>
  <c r="E24" i="8"/>
  <c r="E29" i="8" s="1"/>
  <c r="D24" i="8"/>
  <c r="C24" i="8"/>
  <c r="G8" i="8"/>
  <c r="F8" i="8"/>
  <c r="E8" i="8"/>
  <c r="D8" i="8"/>
  <c r="C8" i="8"/>
  <c r="G6" i="7"/>
  <c r="F6" i="7"/>
  <c r="E6" i="7"/>
  <c r="D6" i="7"/>
  <c r="C6" i="7"/>
  <c r="C46" i="3"/>
  <c r="D46" i="3"/>
  <c r="E46" i="3"/>
  <c r="F46" i="3"/>
  <c r="B46" i="3"/>
  <c r="B48" i="3" s="1"/>
  <c r="D48" i="3"/>
  <c r="D13" i="3"/>
  <c r="D20" i="3" s="1"/>
  <c r="D22" i="3" s="1"/>
  <c r="C9" i="3"/>
  <c r="C13" i="3" s="1"/>
  <c r="C20" i="3" s="1"/>
  <c r="C22" i="3" s="1"/>
  <c r="D9" i="3"/>
  <c r="E9" i="3"/>
  <c r="E13" i="3" s="1"/>
  <c r="E20" i="3" s="1"/>
  <c r="E22" i="3" s="1"/>
  <c r="F9" i="3"/>
  <c r="F13" i="3" s="1"/>
  <c r="F20" i="3" s="1"/>
  <c r="F22" i="3" s="1"/>
  <c r="B9" i="3"/>
  <c r="B13" i="3" s="1"/>
  <c r="B20" i="3" s="1"/>
  <c r="B22" i="3" s="1"/>
  <c r="E48" i="3"/>
  <c r="F48" i="3"/>
  <c r="C48" i="3"/>
  <c r="D59" i="3"/>
  <c r="E59" i="3"/>
  <c r="F59" i="3"/>
  <c r="D67" i="3"/>
  <c r="E67" i="3"/>
  <c r="F67" i="3"/>
  <c r="D79" i="3"/>
  <c r="E79" i="3"/>
  <c r="F79" i="3"/>
  <c r="D85" i="3"/>
  <c r="E85" i="3"/>
  <c r="F85" i="3"/>
  <c r="D96" i="3"/>
  <c r="E96" i="3"/>
  <c r="F96" i="3"/>
  <c r="C138" i="3"/>
  <c r="D138" i="3"/>
  <c r="E138" i="3"/>
  <c r="F138" i="3"/>
  <c r="B138" i="3"/>
  <c r="C129" i="3"/>
  <c r="D129" i="3"/>
  <c r="E129" i="3"/>
  <c r="F129" i="3"/>
  <c r="B129" i="3"/>
  <c r="F121" i="3"/>
  <c r="C121" i="3"/>
  <c r="D121" i="3"/>
  <c r="E121" i="3"/>
  <c r="B121" i="3"/>
  <c r="C96" i="3"/>
  <c r="B96" i="3"/>
  <c r="C85" i="3"/>
  <c r="B85" i="3"/>
  <c r="B79" i="3"/>
  <c r="B87" i="3" s="1"/>
  <c r="C79" i="3"/>
  <c r="C59" i="3"/>
  <c r="B59" i="3"/>
  <c r="C67" i="3"/>
  <c r="B67" i="3"/>
  <c r="B69" i="3" s="1"/>
  <c r="K7" i="38" l="1"/>
  <c r="E35" i="22"/>
  <c r="E40" i="22"/>
  <c r="E47" i="22" s="1"/>
  <c r="F18" i="22"/>
  <c r="D29" i="22"/>
  <c r="D22" i="22"/>
  <c r="G15" i="22"/>
  <c r="G25" i="22"/>
  <c r="G16" i="22"/>
  <c r="F41" i="22" s="1"/>
  <c r="F48" i="22" s="1"/>
  <c r="G17" i="22"/>
  <c r="F42" i="22" s="1"/>
  <c r="F27" i="22"/>
  <c r="E21" i="22"/>
  <c r="D37" i="22" s="1"/>
  <c r="E20" i="22"/>
  <c r="D43" i="22" s="1"/>
  <c r="B36" i="22"/>
  <c r="B54" i="22"/>
  <c r="D10" i="7"/>
  <c r="C14" i="8"/>
  <c r="G14" i="8"/>
  <c r="F39" i="8"/>
  <c r="E10" i="7"/>
  <c r="E17" i="7" s="1"/>
  <c r="D14" i="8"/>
  <c r="C39" i="8"/>
  <c r="B2" i="21" s="1"/>
  <c r="F10" i="7"/>
  <c r="F17" i="7" s="1"/>
  <c r="E14" i="8"/>
  <c r="F69" i="3"/>
  <c r="E69" i="3"/>
  <c r="C10" i="7"/>
  <c r="C17" i="7" s="1"/>
  <c r="C19" i="7" s="1"/>
  <c r="G10" i="7"/>
  <c r="G17" i="7" s="1"/>
  <c r="G19" i="7" s="1"/>
  <c r="F14" i="8"/>
  <c r="E39" i="8"/>
  <c r="C22" i="10"/>
  <c r="B2" i="17" s="1"/>
  <c r="E22" i="10"/>
  <c r="D2" i="17" s="1"/>
  <c r="F22" i="10"/>
  <c r="E2" i="17" s="1"/>
  <c r="G22" i="10"/>
  <c r="F2" i="17" s="1"/>
  <c r="D22" i="10"/>
  <c r="C2" i="17" s="1"/>
  <c r="F19" i="7"/>
  <c r="D17" i="7"/>
  <c r="D19" i="7" s="1"/>
  <c r="D29" i="8"/>
  <c r="E19" i="7"/>
  <c r="F87" i="3"/>
  <c r="D69" i="3"/>
  <c r="D87" i="3"/>
  <c r="D98" i="3" s="1"/>
  <c r="E87" i="3"/>
  <c r="E98" i="3" s="1"/>
  <c r="F98" i="3"/>
  <c r="B98" i="3"/>
  <c r="C87" i="3"/>
  <c r="C98" i="3" s="1"/>
  <c r="C69" i="3"/>
  <c r="L37" i="13" l="1"/>
  <c r="L38" i="13"/>
  <c r="L22" i="13"/>
  <c r="L23" i="13"/>
  <c r="M23" i="13" s="1"/>
  <c r="C36" i="22"/>
  <c r="C54" i="22"/>
  <c r="E22" i="22"/>
  <c r="E29" i="22"/>
  <c r="G27" i="22"/>
  <c r="G18" i="22"/>
  <c r="F35" i="22"/>
  <c r="F40" i="22"/>
  <c r="F47" i="22" s="1"/>
  <c r="F20" i="22"/>
  <c r="E43" i="22" s="1"/>
  <c r="F21" i="22"/>
  <c r="E37" i="22" s="1"/>
  <c r="L50" i="13"/>
  <c r="C57" i="13" s="1"/>
  <c r="L51" i="13"/>
  <c r="L58" i="13"/>
  <c r="M58" i="13" s="1"/>
  <c r="N58" i="13" s="1"/>
  <c r="O58" i="13" s="1"/>
  <c r="L55" i="13"/>
  <c r="L61" i="13"/>
  <c r="L60" i="13"/>
  <c r="L56" i="13"/>
  <c r="D39" i="8"/>
  <c r="C45" i="19" l="1"/>
  <c r="E7" i="38"/>
  <c r="N23" i="13"/>
  <c r="M22" i="13"/>
  <c r="C74" i="19" s="1"/>
  <c r="B73" i="19"/>
  <c r="B74" i="19"/>
  <c r="M38" i="13"/>
  <c r="C47" i="13"/>
  <c r="C49" i="13" s="1"/>
  <c r="M37" i="13"/>
  <c r="C31" i="13"/>
  <c r="D54" i="22"/>
  <c r="D36" i="22"/>
  <c r="G21" i="22"/>
  <c r="F37" i="22" s="1"/>
  <c r="G20" i="22"/>
  <c r="F43" i="22" s="1"/>
  <c r="C39" i="19"/>
  <c r="F22" i="22"/>
  <c r="F29" i="22"/>
  <c r="C35" i="19"/>
  <c r="C44" i="19"/>
  <c r="C43" i="19"/>
  <c r="C40" i="19"/>
  <c r="C18" i="13"/>
  <c r="C20" i="13" s="1"/>
  <c r="M55" i="13"/>
  <c r="C61" i="13"/>
  <c r="M56" i="13"/>
  <c r="C65" i="13"/>
  <c r="C3" i="13"/>
  <c r="L5" i="13"/>
  <c r="L8" i="13" s="1"/>
  <c r="L10" i="13" s="1"/>
  <c r="C82" i="19" s="1"/>
  <c r="C27" i="13"/>
  <c r="M60" i="13"/>
  <c r="C68" i="13"/>
  <c r="C58" i="13"/>
  <c r="M51" i="13"/>
  <c r="M61" i="13"/>
  <c r="C67" i="13"/>
  <c r="M50" i="13"/>
  <c r="L59" i="13"/>
  <c r="L64" i="13" s="1"/>
  <c r="E14" i="38" l="1"/>
  <c r="E11" i="38"/>
  <c r="E20" i="38"/>
  <c r="E17" i="38"/>
  <c r="E25" i="38"/>
  <c r="E26" i="38" s="1"/>
  <c r="F8" i="38"/>
  <c r="E23" i="38"/>
  <c r="D45" i="19"/>
  <c r="D7" i="38"/>
  <c r="C73" i="19"/>
  <c r="O23" i="13"/>
  <c r="C54" i="13"/>
  <c r="B81" i="19" s="1"/>
  <c r="B26" i="19"/>
  <c r="B80" i="19"/>
  <c r="N38" i="13"/>
  <c r="D47" i="13"/>
  <c r="D49" i="13" s="1"/>
  <c r="C26" i="19" s="1"/>
  <c r="N37" i="13"/>
  <c r="D31" i="13"/>
  <c r="B67" i="19"/>
  <c r="N22" i="13"/>
  <c r="D73" i="19" s="1"/>
  <c r="G29" i="22"/>
  <c r="G22" i="22"/>
  <c r="E36" i="22"/>
  <c r="E54" i="22"/>
  <c r="C58" i="19"/>
  <c r="C61" i="19" s="1"/>
  <c r="C57" i="19"/>
  <c r="C60" i="19" s="1"/>
  <c r="D40" i="19"/>
  <c r="C34" i="19"/>
  <c r="C37" i="19" s="1"/>
  <c r="C8" i="19"/>
  <c r="D35" i="19"/>
  <c r="D44" i="19"/>
  <c r="D43" i="19"/>
  <c r="D39" i="19"/>
  <c r="C28" i="13"/>
  <c r="D61" i="13"/>
  <c r="N55" i="13"/>
  <c r="N61" i="13"/>
  <c r="D67" i="13"/>
  <c r="C7" i="13"/>
  <c r="C8" i="13" s="1"/>
  <c r="C15" i="19" s="1"/>
  <c r="C51" i="19" s="1"/>
  <c r="C17" i="13"/>
  <c r="D57" i="13"/>
  <c r="N50" i="13"/>
  <c r="M59" i="13"/>
  <c r="M64" i="13" s="1"/>
  <c r="N60" i="13"/>
  <c r="D68" i="13"/>
  <c r="D3" i="13"/>
  <c r="D27" i="13"/>
  <c r="M5" i="13"/>
  <c r="M8" i="13" s="1"/>
  <c r="M10" i="13" s="1"/>
  <c r="D82" i="19" s="1"/>
  <c r="D65" i="13"/>
  <c r="N56" i="13"/>
  <c r="C60" i="13"/>
  <c r="C62" i="13" s="1"/>
  <c r="C75" i="19" s="1"/>
  <c r="N51" i="13"/>
  <c r="D58" i="13"/>
  <c r="C41" i="13"/>
  <c r="C43" i="13" s="1"/>
  <c r="D18" i="13"/>
  <c r="D20" i="13" s="1"/>
  <c r="E45" i="19" l="1"/>
  <c r="C7" i="38"/>
  <c r="C25" i="38" s="1"/>
  <c r="E8" i="38"/>
  <c r="D17" i="38"/>
  <c r="L17" i="38" s="1"/>
  <c r="D25" i="38"/>
  <c r="D26" i="38" s="1"/>
  <c r="L26" i="38" s="1"/>
  <c r="D11" i="38"/>
  <c r="L11" i="38" s="1"/>
  <c r="D20" i="38"/>
  <c r="L20" i="38" s="1"/>
  <c r="D14" i="38"/>
  <c r="L14" i="38" s="1"/>
  <c r="D23" i="38"/>
  <c r="L23" i="38" s="1"/>
  <c r="D74" i="19"/>
  <c r="O22" i="13"/>
  <c r="E73" i="19" s="1"/>
  <c r="O37" i="13"/>
  <c r="F31" i="13" s="1"/>
  <c r="E31" i="13"/>
  <c r="O38" i="13"/>
  <c r="F47" i="13" s="1"/>
  <c r="F49" i="13" s="1"/>
  <c r="F54" i="13" s="1"/>
  <c r="E47" i="13"/>
  <c r="E49" i="13" s="1"/>
  <c r="C67" i="19"/>
  <c r="D54" i="13"/>
  <c r="C80" i="19"/>
  <c r="F36" i="22"/>
  <c r="F54" i="22"/>
  <c r="E40" i="19"/>
  <c r="D58" i="19"/>
  <c r="D61" i="19" s="1"/>
  <c r="D57" i="19"/>
  <c r="D60" i="19" s="1"/>
  <c r="E39" i="19"/>
  <c r="D28" i="13"/>
  <c r="D33" i="13" s="1"/>
  <c r="E28" i="13"/>
  <c r="C33" i="13"/>
  <c r="B62" i="19"/>
  <c r="B63" i="19" s="1"/>
  <c r="B68" i="19" s="1"/>
  <c r="C41" i="19"/>
  <c r="C50" i="19"/>
  <c r="C49" i="19"/>
  <c r="B21" i="19"/>
  <c r="D34" i="19"/>
  <c r="D37" i="19" s="1"/>
  <c r="D8" i="19"/>
  <c r="E43" i="19"/>
  <c r="E35" i="19"/>
  <c r="E44" i="19"/>
  <c r="E27" i="13"/>
  <c r="E3" i="13"/>
  <c r="N5" i="13"/>
  <c r="N8" i="13" s="1"/>
  <c r="N10" i="13" s="1"/>
  <c r="E82" i="19" s="1"/>
  <c r="O60" i="13"/>
  <c r="F68" i="13" s="1"/>
  <c r="E68" i="13"/>
  <c r="E57" i="13"/>
  <c r="N59" i="13"/>
  <c r="N64" i="13" s="1"/>
  <c r="O50" i="13"/>
  <c r="D17" i="13"/>
  <c r="D7" i="13"/>
  <c r="D8" i="13" s="1"/>
  <c r="D15" i="19" s="1"/>
  <c r="D51" i="19" s="1"/>
  <c r="D60" i="13"/>
  <c r="D62" i="13" s="1"/>
  <c r="D75" i="19" s="1"/>
  <c r="O61" i="13"/>
  <c r="F67" i="13" s="1"/>
  <c r="E67" i="13"/>
  <c r="C66" i="13"/>
  <c r="C69" i="13" s="1"/>
  <c r="C72" i="13" s="1"/>
  <c r="D41" i="13"/>
  <c r="D43" i="13" s="1"/>
  <c r="C21" i="19" s="1"/>
  <c r="O55" i="13"/>
  <c r="F61" i="13" s="1"/>
  <c r="E61" i="13"/>
  <c r="F18" i="13"/>
  <c r="F20" i="13" s="1"/>
  <c r="E18" i="13"/>
  <c r="E20" i="13" s="1"/>
  <c r="O51" i="13"/>
  <c r="F58" i="13" s="1"/>
  <c r="E58" i="13"/>
  <c r="O56" i="13"/>
  <c r="F65" i="13" s="1"/>
  <c r="E65" i="13"/>
  <c r="C4" i="13"/>
  <c r="C21" i="13"/>
  <c r="D8" i="38" l="1"/>
  <c r="B16" i="19"/>
  <c r="B17" i="19" s="1"/>
  <c r="B19" i="19" s="1"/>
  <c r="J14" i="38"/>
  <c r="J13" i="38" s="1"/>
  <c r="K14" i="38"/>
  <c r="K13" i="38" s="1"/>
  <c r="H14" i="38"/>
  <c r="H13" i="38" s="1"/>
  <c r="G14" i="38"/>
  <c r="G13" i="38" s="1"/>
  <c r="I14" i="38"/>
  <c r="I13" i="38" s="1"/>
  <c r="H26" i="38"/>
  <c r="C3" i="22" s="1"/>
  <c r="C26" i="22" s="1"/>
  <c r="K26" i="38"/>
  <c r="F3" i="22" s="1"/>
  <c r="J26" i="38"/>
  <c r="E3" i="22" s="1"/>
  <c r="E26" i="22" s="1"/>
  <c r="G26" i="38"/>
  <c r="I26" i="38"/>
  <c r="D3" i="22" s="1"/>
  <c r="D26" i="22" s="1"/>
  <c r="K20" i="38"/>
  <c r="K19" i="38" s="1"/>
  <c r="H20" i="38"/>
  <c r="H19" i="38" s="1"/>
  <c r="J20" i="38"/>
  <c r="J19" i="38" s="1"/>
  <c r="G20" i="38"/>
  <c r="G19" i="38" s="1"/>
  <c r="I20" i="38"/>
  <c r="I19" i="38" s="1"/>
  <c r="G17" i="38"/>
  <c r="G16" i="38" s="1"/>
  <c r="H17" i="38"/>
  <c r="H16" i="38" s="1"/>
  <c r="J17" i="38"/>
  <c r="J16" i="38" s="1"/>
  <c r="K17" i="38"/>
  <c r="K16" i="38" s="1"/>
  <c r="I17" i="38"/>
  <c r="I16" i="38" s="1"/>
  <c r="H23" i="38"/>
  <c r="I23" i="38"/>
  <c r="G23" i="38"/>
  <c r="J23" i="38"/>
  <c r="K23" i="38"/>
  <c r="K11" i="38"/>
  <c r="K10" i="38" s="1"/>
  <c r="I11" i="38"/>
  <c r="I10" i="38" s="1"/>
  <c r="H11" i="38"/>
  <c r="H10" i="38" s="1"/>
  <c r="G11" i="38"/>
  <c r="G10" i="38" s="1"/>
  <c r="J11" i="38"/>
  <c r="J10" i="38" s="1"/>
  <c r="E67" i="19"/>
  <c r="E74" i="19"/>
  <c r="C81" i="19"/>
  <c r="E80" i="19"/>
  <c r="E54" i="13"/>
  <c r="D81" i="19" s="1"/>
  <c r="E26" i="19"/>
  <c r="D80" i="19"/>
  <c r="D26" i="19"/>
  <c r="D67" i="19"/>
  <c r="C44" i="13"/>
  <c r="B20" i="19" s="1"/>
  <c r="B22" i="19" s="1"/>
  <c r="B56" i="19"/>
  <c r="B59" i="19" s="1"/>
  <c r="E58" i="19"/>
  <c r="E61" i="19" s="1"/>
  <c r="E57" i="19"/>
  <c r="E60" i="19" s="1"/>
  <c r="C62" i="19"/>
  <c r="C63" i="19" s="1"/>
  <c r="C68" i="19" s="1"/>
  <c r="F28" i="13"/>
  <c r="E62" i="19" s="1"/>
  <c r="E63" i="19" s="1"/>
  <c r="C16" i="19"/>
  <c r="C17" i="19" s="1"/>
  <c r="C19" i="19" s="1"/>
  <c r="C56" i="19"/>
  <c r="C59" i="19" s="1"/>
  <c r="D62" i="19"/>
  <c r="D63" i="19" s="1"/>
  <c r="D41" i="19"/>
  <c r="D50" i="19"/>
  <c r="D49" i="19"/>
  <c r="C7" i="19"/>
  <c r="C3" i="19"/>
  <c r="C86" i="19" s="1"/>
  <c r="C88" i="19" s="1"/>
  <c r="E34" i="19"/>
  <c r="E37" i="19" s="1"/>
  <c r="E8" i="19"/>
  <c r="F7" i="13"/>
  <c r="F8" i="13" s="1"/>
  <c r="F17" i="13"/>
  <c r="F57" i="13"/>
  <c r="F60" i="13" s="1"/>
  <c r="F62" i="13" s="1"/>
  <c r="F66" i="13" s="1"/>
  <c r="F69" i="13" s="1"/>
  <c r="F72" i="13" s="1"/>
  <c r="O59" i="13"/>
  <c r="O64" i="13" s="1"/>
  <c r="E7" i="13"/>
  <c r="E8" i="13" s="1"/>
  <c r="E15" i="19" s="1"/>
  <c r="E51" i="19" s="1"/>
  <c r="E17" i="13"/>
  <c r="D44" i="13"/>
  <c r="D4" i="13"/>
  <c r="D21" i="13"/>
  <c r="E60" i="13"/>
  <c r="E62" i="13" s="1"/>
  <c r="E75" i="19" s="1"/>
  <c r="E41" i="13"/>
  <c r="E43" i="13" s="1"/>
  <c r="E33" i="13"/>
  <c r="D66" i="13"/>
  <c r="D69" i="13" s="1"/>
  <c r="D72" i="13" s="1"/>
  <c r="F3" i="13"/>
  <c r="F27" i="13"/>
  <c r="O5" i="13"/>
  <c r="O8" i="13" s="1"/>
  <c r="O10" i="13" s="1"/>
  <c r="B3" i="22" l="1"/>
  <c r="B26" i="22" s="1"/>
  <c r="C20" i="19"/>
  <c r="C22" i="19" s="1"/>
  <c r="C23" i="19" s="1"/>
  <c r="C25" i="19" s="1"/>
  <c r="C27" i="19" s="1"/>
  <c r="C29" i="19" s="1"/>
  <c r="J22" i="38"/>
  <c r="J25" i="38" s="1"/>
  <c r="K22" i="38"/>
  <c r="K25" i="38" s="1"/>
  <c r="G22" i="38"/>
  <c r="G25" i="38" s="1"/>
  <c r="H22" i="38"/>
  <c r="H25" i="38" s="1"/>
  <c r="G3" i="22"/>
  <c r="G26" i="22" s="1"/>
  <c r="G28" i="22" s="1"/>
  <c r="G30" i="22" s="1"/>
  <c r="F26" i="22"/>
  <c r="I22" i="38"/>
  <c r="I25" i="38" s="1"/>
  <c r="D46" i="22"/>
  <c r="D49" i="22" s="1"/>
  <c r="D32" i="22"/>
  <c r="D28" i="22"/>
  <c r="C32" i="22"/>
  <c r="C28" i="22"/>
  <c r="C46" i="22"/>
  <c r="C49" i="22" s="1"/>
  <c r="E32" i="22"/>
  <c r="E46" i="22"/>
  <c r="E49" i="22" s="1"/>
  <c r="E28" i="22"/>
  <c r="E68" i="19"/>
  <c r="D68" i="19"/>
  <c r="E81" i="19"/>
  <c r="B23" i="19"/>
  <c r="B25" i="19" s="1"/>
  <c r="B27" i="19" s="1"/>
  <c r="B29" i="19" s="1"/>
  <c r="D56" i="19"/>
  <c r="D59" i="19" s="1"/>
  <c r="E41" i="19"/>
  <c r="E50" i="19"/>
  <c r="C9" i="19"/>
  <c r="C11" i="19" s="1"/>
  <c r="C52" i="19"/>
  <c r="E49" i="19"/>
  <c r="D3" i="19"/>
  <c r="D86" i="19" s="1"/>
  <c r="D88" i="19" s="1"/>
  <c r="D7" i="19"/>
  <c r="D16" i="19"/>
  <c r="D17" i="19" s="1"/>
  <c r="D19" i="19" s="1"/>
  <c r="D21" i="19"/>
  <c r="E44" i="13"/>
  <c r="D20" i="19" s="1"/>
  <c r="E66" i="13"/>
  <c r="E69" i="13" s="1"/>
  <c r="E72" i="13" s="1"/>
  <c r="F4" i="13"/>
  <c r="F21" i="13"/>
  <c r="F41" i="13"/>
  <c r="F43" i="13" s="1"/>
  <c r="E21" i="19" s="1"/>
  <c r="F33" i="13"/>
  <c r="E16" i="19" s="1"/>
  <c r="E17" i="19" s="1"/>
  <c r="E19" i="19" s="1"/>
  <c r="E4" i="13"/>
  <c r="E21" i="13"/>
  <c r="B46" i="22" l="1"/>
  <c r="B49" i="22" s="1"/>
  <c r="B28" i="22"/>
  <c r="B32" i="22"/>
  <c r="E53" i="22"/>
  <c r="E55" i="22" s="1"/>
  <c r="E33" i="22"/>
  <c r="E30" i="22"/>
  <c r="D53" i="22"/>
  <c r="D55" i="22" s="1"/>
  <c r="D30" i="22"/>
  <c r="D33" i="22"/>
  <c r="B30" i="22"/>
  <c r="B33" i="22"/>
  <c r="B53" i="22"/>
  <c r="B55" i="22" s="1"/>
  <c r="C53" i="22"/>
  <c r="C55" i="22" s="1"/>
  <c r="C30" i="22"/>
  <c r="C33" i="22"/>
  <c r="F46" i="22"/>
  <c r="F49" i="22" s="1"/>
  <c r="F32" i="22"/>
  <c r="F28" i="22"/>
  <c r="E56" i="19"/>
  <c r="E59" i="19" s="1"/>
  <c r="D9" i="19"/>
  <c r="D11" i="19" s="1"/>
  <c r="D52" i="19"/>
  <c r="D22" i="19"/>
  <c r="E7" i="19"/>
  <c r="E3" i="19"/>
  <c r="E86" i="19" s="1"/>
  <c r="E88" i="19" s="1"/>
  <c r="F44" i="13"/>
  <c r="E20" i="19" s="1"/>
  <c r="F53" i="22" l="1"/>
  <c r="F55" i="22" s="1"/>
  <c r="F30" i="22"/>
  <c r="F33" i="22"/>
  <c r="C34" i="22"/>
  <c r="C39" i="22"/>
  <c r="C44" i="22" s="1"/>
  <c r="B39" i="22"/>
  <c r="B44" i="22" s="1"/>
  <c r="B34" i="22"/>
  <c r="E39" i="22"/>
  <c r="E44" i="22" s="1"/>
  <c r="E34" i="22"/>
  <c r="D39" i="22"/>
  <c r="D44" i="22" s="1"/>
  <c r="D34" i="22"/>
  <c r="D23" i="19"/>
  <c r="D25" i="19" s="1"/>
  <c r="D27" i="19" s="1"/>
  <c r="D29" i="19" s="1"/>
  <c r="E22" i="19"/>
  <c r="E23" i="19" s="1"/>
  <c r="E25" i="19" s="1"/>
  <c r="E27" i="19" s="1"/>
  <c r="E29" i="19" s="1"/>
  <c r="E9" i="19"/>
  <c r="E11" i="19" s="1"/>
  <c r="E52" i="19"/>
  <c r="F39" i="22" l="1"/>
  <c r="F44" i="22" s="1"/>
  <c r="F34" i="22"/>
</calcChain>
</file>

<file path=xl/sharedStrings.xml><?xml version="1.0" encoding="utf-8"?>
<sst xmlns="http://schemas.openxmlformats.org/spreadsheetml/2006/main" count="932" uniqueCount="472">
  <si>
    <t>12/31/2018</t>
  </si>
  <si>
    <t>12/31/2019</t>
  </si>
  <si>
    <t>12/31/2020</t>
  </si>
  <si>
    <t>12/31/2021</t>
  </si>
  <si>
    <t>12/31/2022</t>
  </si>
  <si>
    <t xml:space="preserve">Mettler-Toledo International Inc (MTD US) </t>
  </si>
  <si>
    <t>Total Assets</t>
  </si>
  <si>
    <t>Total Current Liabilities</t>
  </si>
  <si>
    <t>Total Liabilities</t>
  </si>
  <si>
    <t xml:space="preserve">CONSOLIDATED STATEMENTS OF OPERATIONS </t>
  </si>
  <si>
    <t>In Thousands, except share data</t>
  </si>
  <si>
    <t>FY2018</t>
  </si>
  <si>
    <t>FY2019</t>
  </si>
  <si>
    <t>FY2020</t>
  </si>
  <si>
    <t>FY2021</t>
  </si>
  <si>
    <t>FY2022</t>
  </si>
  <si>
    <t>Net Sales</t>
  </si>
  <si>
    <t>Products</t>
  </si>
  <si>
    <t>Total net sales</t>
  </si>
  <si>
    <t>Cost of sales</t>
  </si>
  <si>
    <t>Services</t>
  </si>
  <si>
    <t xml:space="preserve">Gross Profit </t>
  </si>
  <si>
    <t>Selling, general and administrative</t>
  </si>
  <si>
    <t>Amortization</t>
  </si>
  <si>
    <t>Interest Expense</t>
  </si>
  <si>
    <t>Other income, net</t>
  </si>
  <si>
    <t>Earnings before taxes</t>
  </si>
  <si>
    <t>Provision for taxes</t>
  </si>
  <si>
    <t>Net Earnings</t>
  </si>
  <si>
    <t>Basic earnings per common share:</t>
  </si>
  <si>
    <t>Net earnings</t>
  </si>
  <si>
    <t>Weighted average number of common shares</t>
  </si>
  <si>
    <t>Diluted earnings per common share:</t>
  </si>
  <si>
    <t>CONSOLIDATED STATEMNTS OF COMPREHENSIVE INCOME</t>
  </si>
  <si>
    <t>Foreign currency translation adjustment</t>
  </si>
  <si>
    <t>Unrealized gains (losses)</t>
  </si>
  <si>
    <t>Unrealized gains (losses) on casf flow from hedging arrangemnts:</t>
  </si>
  <si>
    <t>Other comprehensive income (loss), net of tax:</t>
  </si>
  <si>
    <t>Effective portion of (gains) losses included in net earnings</t>
  </si>
  <si>
    <t>Net actuarial gain (losses)</t>
  </si>
  <si>
    <t xml:space="preserve">Plant amendments and prior service cost </t>
  </si>
  <si>
    <t>Amortization of acturial (gains) losses and plan amendments and prior service cost</t>
  </si>
  <si>
    <t>Impact of foreign currency</t>
  </si>
  <si>
    <t>Total other comprehensive income (loss), net of tax</t>
  </si>
  <si>
    <t>Comprehensive Income</t>
  </si>
  <si>
    <t>CONSOLIDATED BALANCE SHEETS</t>
  </si>
  <si>
    <t>ASSETS</t>
  </si>
  <si>
    <t>Current Assets:</t>
  </si>
  <si>
    <t>Cash and cash equivalents</t>
  </si>
  <si>
    <t>Trade accounts receivables</t>
  </si>
  <si>
    <t>Inventories</t>
  </si>
  <si>
    <t>Other current assets and prepaid expenses</t>
  </si>
  <si>
    <t>Total Current assets</t>
  </si>
  <si>
    <t>Non-current Assets:</t>
  </si>
  <si>
    <t>Goodwill</t>
  </si>
  <si>
    <t>Other intangible assets</t>
  </si>
  <si>
    <t>Deferred tax assets</t>
  </si>
  <si>
    <t>Other non-current assets</t>
  </si>
  <si>
    <t>Total non-current assets</t>
  </si>
  <si>
    <t>LIABILITIES</t>
  </si>
  <si>
    <t>Cuurent Liabilities:</t>
  </si>
  <si>
    <t xml:space="preserve">Trade accounts payable </t>
  </si>
  <si>
    <t xml:space="preserve">Accrued and other liabilities </t>
  </si>
  <si>
    <t>Accrued comoensation and related items</t>
  </si>
  <si>
    <t>Defrred revenue and customer prepayments</t>
  </si>
  <si>
    <t>Taxes payable</t>
  </si>
  <si>
    <t>Non-current Liabilities:</t>
  </si>
  <si>
    <t>Long-term debt</t>
  </si>
  <si>
    <t xml:space="preserve">Deferred tax liabilities </t>
  </si>
  <si>
    <t>Total non-current Liabilities</t>
  </si>
  <si>
    <t>SHAREHOLDER'S EQUITY</t>
  </si>
  <si>
    <t>Additional paid-in capital</t>
  </si>
  <si>
    <t>Treasury stock at stock</t>
  </si>
  <si>
    <t>Retained Earnings</t>
  </si>
  <si>
    <t>Accumulated other comprehensive income (loss)</t>
  </si>
  <si>
    <t>Total shareholder's equity</t>
  </si>
  <si>
    <t>Total liabilities and shareholder's equity</t>
  </si>
  <si>
    <t>CONSOLIDATED STATEMENTS OF CASH FLOWS</t>
  </si>
  <si>
    <t xml:space="preserve">Net earnings </t>
  </si>
  <si>
    <t>Adjustments to reconcile net earnings to net cash provided by operating activities:</t>
  </si>
  <si>
    <t>Depreciation</t>
  </si>
  <si>
    <t>Share-based compensation</t>
  </si>
  <si>
    <t>Swiss tax reform (Note 14)</t>
  </si>
  <si>
    <t>U.S. tax reform (Note 14)</t>
  </si>
  <si>
    <t>Acquisition gain (Note 15)</t>
  </si>
  <si>
    <t>Other</t>
  </si>
  <si>
    <t>Increase (decrease) in cash resulting from changes in:</t>
  </si>
  <si>
    <t>Trade accounts receivable</t>
  </si>
  <si>
    <t>Other current assets</t>
  </si>
  <si>
    <t>Trade accounts payable</t>
  </si>
  <si>
    <t>Net cash provided by operating activities</t>
  </si>
  <si>
    <t>Cash flows from Investing Activities:</t>
  </si>
  <si>
    <t>Cash flows from Operating Activities:</t>
  </si>
  <si>
    <t>Proceeds from sale pf property, plant and equipment</t>
  </si>
  <si>
    <t>Acquisitions</t>
  </si>
  <si>
    <t>Net cash used in investing activities</t>
  </si>
  <si>
    <t>Cash flows from Financing Activities:</t>
  </si>
  <si>
    <t>Proceeds from borrowings</t>
  </si>
  <si>
    <t>Repayments of borrowings</t>
  </si>
  <si>
    <t>Proceeds from exercise of stock options</t>
  </si>
  <si>
    <t xml:space="preserve">Repurchases of common stock </t>
  </si>
  <si>
    <t>Acquisition contingent consideration paid</t>
  </si>
  <si>
    <t xml:space="preserve">Other financing activities </t>
  </si>
  <si>
    <t>Net cash used in financing activities</t>
  </si>
  <si>
    <t>Cash and cash equivalents:</t>
  </si>
  <si>
    <t>Beginning of period</t>
  </si>
  <si>
    <t xml:space="preserve">End of period </t>
  </si>
  <si>
    <t>Supplemental disclosures of cash flow information:</t>
  </si>
  <si>
    <t>Cash paid during the year for:</t>
  </si>
  <si>
    <t>Interest</t>
  </si>
  <si>
    <t>Taxes</t>
  </si>
  <si>
    <t>Property, plant and equipment</t>
  </si>
  <si>
    <t>Million in Dollars ($)</t>
  </si>
  <si>
    <t>Common Stock **</t>
  </si>
  <si>
    <t>Preferred Stock *</t>
  </si>
  <si>
    <t>Short-term borrowings and current maturities of long-term debt</t>
  </si>
  <si>
    <t>Other non-curent liabilities</t>
  </si>
  <si>
    <t xml:space="preserve">Deferred tax provision (benefit) </t>
  </si>
  <si>
    <t>Other investing activities</t>
  </si>
  <si>
    <t xml:space="preserve">Research and Development </t>
  </si>
  <si>
    <t xml:space="preserve">Restructuring charges </t>
  </si>
  <si>
    <t>Defined benefit pension and post-retirement plans:</t>
  </si>
  <si>
    <t>Accruals and other</t>
  </si>
  <si>
    <t>Purchase of property, plant, and equipment</t>
  </si>
  <si>
    <t>Effect of exchange rate changes on cash and cash equivalents</t>
  </si>
  <si>
    <t>Net increase (decrease) in cash and cash equivalents</t>
  </si>
  <si>
    <t>Proceeds from government grant</t>
  </si>
  <si>
    <t>Standard Accounts</t>
  </si>
  <si>
    <t>Basic EPS</t>
  </si>
  <si>
    <t>Pre-Tax Income</t>
  </si>
  <si>
    <t>Tax</t>
  </si>
  <si>
    <t>EPS</t>
  </si>
  <si>
    <t>Receivables</t>
  </si>
  <si>
    <t>Other Intangible Assets</t>
  </si>
  <si>
    <t>Other Long Term Assets</t>
  </si>
  <si>
    <t>Financial Assets</t>
  </si>
  <si>
    <t>Assets</t>
  </si>
  <si>
    <t>Total Current Assets</t>
  </si>
  <si>
    <t>Total Shareholder's Equity</t>
  </si>
  <si>
    <t>Total Liabilities and Shareholder's Equity</t>
  </si>
  <si>
    <t>Prepaid Expenses</t>
  </si>
  <si>
    <t>Cash Flow from Operating Activities</t>
  </si>
  <si>
    <t>Cash Flow from Investing Activities</t>
  </si>
  <si>
    <t>Cash Flow from Financing Activities</t>
  </si>
  <si>
    <t>Cash and Cash Equivalents at the Beginning</t>
  </si>
  <si>
    <t>Cash and Cash Equivalents at the End</t>
  </si>
  <si>
    <t>Cash paid for Interest</t>
  </si>
  <si>
    <t>Cash paid for Taxes</t>
  </si>
  <si>
    <t>Non-Current Operating Accruals</t>
  </si>
  <si>
    <t>Non-operating losses (gains)</t>
  </si>
  <si>
    <t>Net (Investment in) or Liquidation of Operating Working Capital</t>
  </si>
  <si>
    <t>Net (Investment in) or Liquidation of Non-Current Operating or Investment Assets</t>
  </si>
  <si>
    <t>Net Debt (Repayment) or Issuance</t>
  </si>
  <si>
    <t>Net share (repurchase) or issuance</t>
  </si>
  <si>
    <t>Other financial expenses</t>
  </si>
  <si>
    <t>Income Tax paid - Income Tax Received</t>
  </si>
  <si>
    <t>Cash flow from operating activities</t>
  </si>
  <si>
    <t>Net cash inflow from operating activities</t>
  </si>
  <si>
    <t>Taxes paid/Received</t>
  </si>
  <si>
    <t>Operating cash flow before working capital investments</t>
  </si>
  <si>
    <t>Operating cash flow before investment in non-current assets</t>
  </si>
  <si>
    <t>Free cash flow available to debt and equity</t>
  </si>
  <si>
    <t>Free cash flow available to equity</t>
  </si>
  <si>
    <t>Net share (repurchases) or issuance</t>
  </si>
  <si>
    <t>Net increase (decrease) in Cash Balance</t>
  </si>
  <si>
    <t>Revenue</t>
  </si>
  <si>
    <t>Cost of Sales</t>
  </si>
  <si>
    <t>SG&amp;A expenses</t>
  </si>
  <si>
    <t>Operating Income/ Expenses</t>
  </si>
  <si>
    <t>Non-Operating Income/ Expenses</t>
  </si>
  <si>
    <t>Operating expenses</t>
  </si>
  <si>
    <t>Operating profit</t>
  </si>
  <si>
    <t>Interest income</t>
  </si>
  <si>
    <t>Profit before taxes</t>
  </si>
  <si>
    <t>Profit after taxes</t>
  </si>
  <si>
    <t>Profit/loss to ordinary shareholders</t>
  </si>
  <si>
    <t>OPERATING EXPENSES</t>
  </si>
  <si>
    <t>Classification by function:</t>
  </si>
  <si>
    <t>Non-Current Tangible Asset</t>
  </si>
  <si>
    <t>Non-Current Intangible Asset</t>
  </si>
  <si>
    <t>Other Non-Operating Investment</t>
  </si>
  <si>
    <t>Current Debt</t>
  </si>
  <si>
    <t>Trade Payables</t>
  </si>
  <si>
    <t>Non-Current Debt</t>
  </si>
  <si>
    <t>Deferred Tax Liability</t>
  </si>
  <si>
    <t>Current Liabilities:</t>
  </si>
  <si>
    <t>Other Current Liabilities</t>
  </si>
  <si>
    <t>Net Income</t>
  </si>
  <si>
    <t>Non-Operating Losses (Gains)</t>
  </si>
  <si>
    <t>Interest Received</t>
  </si>
  <si>
    <t>Dividend Received</t>
  </si>
  <si>
    <t>Other Investments</t>
  </si>
  <si>
    <t>Other Financial Expenses</t>
  </si>
  <si>
    <t>Dividend (payments)</t>
  </si>
  <si>
    <t>Net Share (Repurchase) or Issuance</t>
  </si>
  <si>
    <t>Other Non-current Liability</t>
  </si>
  <si>
    <t>Net cash Flow from operating activities</t>
  </si>
  <si>
    <t>Profits Before Interest and Tax</t>
  </si>
  <si>
    <t>CONDENSED STATEMENT OF EARNING</t>
  </si>
  <si>
    <t>Net operating profit after tax</t>
  </si>
  <si>
    <t>Profit or loss</t>
  </si>
  <si>
    <t>– Investment profit after tax</t>
  </si>
  <si>
    <t>+ Interest expense after tax</t>
  </si>
  <si>
    <t xml:space="preserve"> = Net operating profit after tax</t>
  </si>
  <si>
    <t>of which: Net non-recurring expense after tax</t>
  </si>
  <si>
    <t xml:space="preserve"> = Net non-recurring expense (income)</t>
  </si>
  <si>
    <t>x (1 – Tax rate)</t>
  </si>
  <si>
    <t xml:space="preserve"> = Net non-recurring expense after tax</t>
  </si>
  <si>
    <t>+ Net investment profit after tax</t>
  </si>
  <si>
    <t xml:space="preserve"> = Investment and interest income</t>
  </si>
  <si>
    <t xml:space="preserve"> = Net investment profit after tax</t>
  </si>
  <si>
    <t>– Interest expense after tax</t>
  </si>
  <si>
    <t xml:space="preserve"> = Interest expense</t>
  </si>
  <si>
    <t xml:space="preserve"> = Interest expense after tax</t>
  </si>
  <si>
    <t xml:space="preserve"> = Profit or loss</t>
  </si>
  <si>
    <t>Ending operating working capital</t>
  </si>
  <si>
    <t>Operating cash</t>
  </si>
  <si>
    <t>+ Trade receivables</t>
  </si>
  <si>
    <t>+ Inventories</t>
  </si>
  <si>
    <t>+ Other current assets</t>
  </si>
  <si>
    <t>– Trade payables</t>
  </si>
  <si>
    <t>– Other current liabilities</t>
  </si>
  <si>
    <t xml:space="preserve"> = Ending operating working capital</t>
  </si>
  <si>
    <t>+ Ending net non-current operating assets</t>
  </si>
  <si>
    <t>Non-current tangible assets</t>
  </si>
  <si>
    <t>+ Non-current intangible assets</t>
  </si>
  <si>
    <t>– Deferred tax liability (net of asset)</t>
  </si>
  <si>
    <t>– Other non-current liabilities (non-interest-bearing)</t>
  </si>
  <si>
    <t xml:space="preserve"> = Ending net non-current operating assets</t>
  </si>
  <si>
    <t>+ Ending non-operating investments</t>
  </si>
  <si>
    <t>Excess cash</t>
  </si>
  <si>
    <t>+ Other Non-Operating investments</t>
  </si>
  <si>
    <t xml:space="preserve"> = Ending non-operating investments</t>
  </si>
  <si>
    <t xml:space="preserve"> = Total business assets</t>
  </si>
  <si>
    <t>Ending debt</t>
  </si>
  <si>
    <t>Current debt</t>
  </si>
  <si>
    <t>+ Non-current debt</t>
  </si>
  <si>
    <t xml:space="preserve"> = Ending debt</t>
  </si>
  <si>
    <t>+ Ending group equity</t>
  </si>
  <si>
    <t>Ordinary shareholders' equity</t>
  </si>
  <si>
    <t>+ Minority interests</t>
  </si>
  <si>
    <t>= Ending group equity</t>
  </si>
  <si>
    <t xml:space="preserve"> = Total invested capital</t>
  </si>
  <si>
    <t>Non-operating accruals</t>
  </si>
  <si>
    <t>Net (investments) or liquidation of operating working capital</t>
  </si>
  <si>
    <t>Interest received</t>
  </si>
  <si>
    <t>Dividends received</t>
  </si>
  <si>
    <t>Net (investments) or liquidation of non-current operating or investment assets</t>
  </si>
  <si>
    <t>Interest paid</t>
  </si>
  <si>
    <t>Net debt (repayment) or issuance</t>
  </si>
  <si>
    <t>Ratio</t>
  </si>
  <si>
    <t>Return on equity (%)</t>
  </si>
  <si>
    <t>Net profit margin (ROS)(%)</t>
  </si>
  <si>
    <t>× Asset turnover</t>
  </si>
  <si>
    <t xml:space="preserve"> = Return on assets (ROA)(%)</t>
  </si>
  <si>
    <t>× Financial leverage</t>
  </si>
  <si>
    <t xml:space="preserve"> = Return on equity (ROE)(%)</t>
  </si>
  <si>
    <t>Net Operating Profit Margin(%)</t>
  </si>
  <si>
    <t>× Net Operating Asset Turnover</t>
  </si>
  <si>
    <t xml:space="preserve"> = Return on Net Operating Assets(%)</t>
  </si>
  <si>
    <t>Return on Net Operating Assets(%)</t>
  </si>
  <si>
    <t>x (Net Operating Assets/Invested Capital)</t>
  </si>
  <si>
    <t>+ Return on Non-Operating Investments(%)</t>
  </si>
  <si>
    <t>x (Non-Operating Investments/Invested Capital)</t>
  </si>
  <si>
    <t>= Return on Invested Capital(%)</t>
  </si>
  <si>
    <t>Spread(%)</t>
  </si>
  <si>
    <t>× Financial Leverage</t>
  </si>
  <si>
    <t xml:space="preserve"> = Financial Leverage Gain(%)</t>
  </si>
  <si>
    <t>ROE = Return on Invested Capital + Financial Leverage Gain</t>
  </si>
  <si>
    <t>Line items as a percent of sales</t>
  </si>
  <si>
    <t>Net operating expense</t>
  </si>
  <si>
    <t>Net non-recurring income or expense</t>
  </si>
  <si>
    <t>Net operating profit before tax</t>
  </si>
  <si>
    <t>Non-operating investment income</t>
  </si>
  <si>
    <t>Interest expense</t>
  </si>
  <si>
    <t>Tax expense</t>
  </si>
  <si>
    <t>Operating expense line items as a percent of sales (by function)</t>
  </si>
  <si>
    <t>Selling, general, and administrative expense</t>
  </si>
  <si>
    <t>Operating expense line items as a percent of sales (by nature)</t>
  </si>
  <si>
    <t>Research and Development expense</t>
  </si>
  <si>
    <t>Key profitability ratios</t>
  </si>
  <si>
    <t>Gross profit margin</t>
  </si>
  <si>
    <t>EBITDA margin</t>
  </si>
  <si>
    <t>NOPAT margin</t>
  </si>
  <si>
    <t>Net profit margin</t>
  </si>
  <si>
    <t>Other Operating Income, Net of Other Operating Expense (by function)</t>
  </si>
  <si>
    <t>Operating working capital/Revenue</t>
  </si>
  <si>
    <t>Net non-current assets/Revenue</t>
  </si>
  <si>
    <t>PP&amp;E/Revenue</t>
  </si>
  <si>
    <t>Operating working capital turnover</t>
  </si>
  <si>
    <t>Net non-current asset turnover</t>
  </si>
  <si>
    <t>PP&amp;E turnover</t>
  </si>
  <si>
    <t>Trade receivables turnover</t>
  </si>
  <si>
    <t>Days’ receivables</t>
  </si>
  <si>
    <t>Inventories turnover</t>
  </si>
  <si>
    <t>Days’ inventories</t>
  </si>
  <si>
    <t>Trade payables turnover</t>
  </si>
  <si>
    <t>Days’ payables</t>
  </si>
  <si>
    <t>Cash conversion cycle</t>
  </si>
  <si>
    <t>Current ratio</t>
  </si>
  <si>
    <t>Quick ratio</t>
  </si>
  <si>
    <t>Cash ratio</t>
  </si>
  <si>
    <t>Operating cash flow ratio</t>
  </si>
  <si>
    <t>Liabilities-to-equity</t>
  </si>
  <si>
    <t>Debt-to-equity</t>
  </si>
  <si>
    <t>Debt-to-invested capital</t>
  </si>
  <si>
    <t>Interest coverage (earnings based)</t>
  </si>
  <si>
    <t>ROE</t>
  </si>
  <si>
    <t>Dividend payout ratio</t>
  </si>
  <si>
    <t>Sustainable growth rate</t>
  </si>
  <si>
    <t>STANDARDIZED BALANCE SHEET</t>
  </si>
  <si>
    <t>STANDARDIZED CASH FLOWS STATEMENTS</t>
  </si>
  <si>
    <t>Operating cash percentage (Assumed)</t>
  </si>
  <si>
    <t xml:space="preserve">INCOMESTATEMENT </t>
  </si>
  <si>
    <t>BALANCED SHEET</t>
  </si>
  <si>
    <t>CONSOLIDATED BALANCED SHEET</t>
  </si>
  <si>
    <t>CONSOLIDATED CASH FLOWS STATEMENT</t>
  </si>
  <si>
    <t>CASH FLOWS STATEMENT</t>
  </si>
  <si>
    <t>Free Cash Flow</t>
  </si>
  <si>
    <t>Net Cash Flow</t>
  </si>
  <si>
    <t>LIABILITIES AND SHAREHOLDER'S EQUITY</t>
  </si>
  <si>
    <t>STANDARDIZED INCOME STATEMENT</t>
  </si>
  <si>
    <t>Operating Expenses</t>
  </si>
  <si>
    <r>
      <t xml:space="preserve">TABLE 3: </t>
    </r>
    <r>
      <rPr>
        <sz val="11"/>
        <rFont val="Calibri"/>
        <family val="2"/>
        <scheme val="minor"/>
      </rPr>
      <t>Distinguishing operating and financing components in ROE decomposition</t>
    </r>
  </si>
  <si>
    <r>
      <rPr>
        <b/>
        <sz val="12"/>
        <color theme="1"/>
        <rFont val="Calibri"/>
        <family val="2"/>
        <scheme val="minor"/>
      </rPr>
      <t>TABLE 2:</t>
    </r>
    <r>
      <rPr>
        <sz val="12"/>
        <color theme="1"/>
        <rFont val="Calibri"/>
        <family val="2"/>
        <scheme val="minor"/>
      </rPr>
      <t xml:space="preserve"> Traditional decomposition of ROE</t>
    </r>
  </si>
  <si>
    <r>
      <rPr>
        <b/>
        <sz val="12"/>
        <color theme="1"/>
        <rFont val="Calibri"/>
        <family val="2"/>
        <scheme val="minor"/>
      </rPr>
      <t>TABLE 1:</t>
    </r>
    <r>
      <rPr>
        <sz val="12"/>
        <color theme="1"/>
        <rFont val="Calibri"/>
        <family val="2"/>
        <scheme val="minor"/>
      </rPr>
      <t xml:space="preserve"> Return on Equity</t>
    </r>
  </si>
  <si>
    <r>
      <t>TABLE 5:</t>
    </r>
    <r>
      <rPr>
        <sz val="11"/>
        <rFont val="Calibri"/>
        <family val="2"/>
        <scheme val="minor"/>
      </rPr>
      <t xml:space="preserve"> Common-sized income statement and profitability ratios</t>
    </r>
  </si>
  <si>
    <r>
      <t xml:space="preserve">TABLE 6: </t>
    </r>
    <r>
      <rPr>
        <sz val="11"/>
        <rFont val="Calibri"/>
        <family val="2"/>
        <scheme val="minor"/>
      </rPr>
      <t>Asset management ratios</t>
    </r>
  </si>
  <si>
    <r>
      <t>TABLE 7:</t>
    </r>
    <r>
      <rPr>
        <sz val="11"/>
        <rFont val="Calibri"/>
        <family val="2"/>
        <scheme val="minor"/>
      </rPr>
      <t xml:space="preserve"> Liquidity ratios</t>
    </r>
  </si>
  <si>
    <r>
      <t>TABLE 8:</t>
    </r>
    <r>
      <rPr>
        <sz val="11"/>
        <rFont val="Calibri"/>
        <family val="2"/>
        <scheme val="minor"/>
      </rPr>
      <t xml:space="preserve"> Debt and coverage ratios</t>
    </r>
  </si>
  <si>
    <r>
      <t xml:space="preserve">TABLE 9: </t>
    </r>
    <r>
      <rPr>
        <sz val="11"/>
        <rFont val="Calibri"/>
        <family val="2"/>
        <scheme val="minor"/>
      </rPr>
      <t>Sustainable growth rate</t>
    </r>
  </si>
  <si>
    <t xml:space="preserve">Total Liabilities </t>
  </si>
  <si>
    <t>Revenue growth rate</t>
  </si>
  <si>
    <t>Operating working capital/revenue</t>
  </si>
  <si>
    <t>Net non-current operating assets/revenue</t>
  </si>
  <si>
    <t>Investment assets/revenue</t>
  </si>
  <si>
    <t>After tax return on investment assets</t>
  </si>
  <si>
    <t>After tax cost of debt</t>
  </si>
  <si>
    <t>Debt to capital</t>
  </si>
  <si>
    <t xml:space="preserve">Beginning balance sheet </t>
  </si>
  <si>
    <t>Beginning operating working capital</t>
  </si>
  <si>
    <t>+ Beginning net non-current operating assets</t>
  </si>
  <si>
    <t>+ Beginning non-operating investments</t>
  </si>
  <si>
    <t>Business assets</t>
  </si>
  <si>
    <t>Debt</t>
  </si>
  <si>
    <t>+ Group equity</t>
  </si>
  <si>
    <t>Invested capital</t>
  </si>
  <si>
    <t xml:space="preserve">Income statement </t>
  </si>
  <si>
    <t>= Net business profit after tax</t>
  </si>
  <si>
    <t>– Net interest expense after tax</t>
  </si>
  <si>
    <t>Return on net operating assets (%)</t>
  </si>
  <si>
    <t>Return on invested capital (%)</t>
  </si>
  <si>
    <t>ROE (%)</t>
  </si>
  <si>
    <t>BV of net operating assets growth rate (%)</t>
  </si>
  <si>
    <t>BV of invested capital growth rate (%)</t>
  </si>
  <si>
    <t>BV of equity growth rate (%)</t>
  </si>
  <si>
    <t>– Change in operating working capital</t>
  </si>
  <si>
    <t>– Change in net non-current operating assets</t>
  </si>
  <si>
    <t>– Change in investment assets</t>
  </si>
  <si>
    <t>+ Change in debt</t>
  </si>
  <si>
    <t>Free cash flow to equity</t>
  </si>
  <si>
    <t>Free cash flow from operations</t>
  </si>
  <si>
    <t>Business Profit: NOPAT + NIPAT</t>
  </si>
  <si>
    <t>Free Cash Flow to the Firm (FCFF)</t>
  </si>
  <si>
    <t>Forecast Years</t>
  </si>
  <si>
    <t>FY2023</t>
  </si>
  <si>
    <t>FY2024</t>
  </si>
  <si>
    <t>FY2025</t>
  </si>
  <si>
    <t>FY2026</t>
  </si>
  <si>
    <t>FY2027</t>
  </si>
  <si>
    <t>– Changes (increase) in Total Business Assets</t>
  </si>
  <si>
    <t>Business Profit for changes in the Value of Business Assets</t>
  </si>
  <si>
    <t xml:space="preserve">For the years ended December 31 </t>
  </si>
  <si>
    <t>CONSOLIDATED STATEMENTS OF OPERATIONS (In Thousands, except share data)</t>
  </si>
  <si>
    <t>CONSOLIDATED BALANCE SHEET (In Thousands, except share data)</t>
  </si>
  <si>
    <t>CONSOLIDATED STATEMENT OF CASH FLOWS (In Thousands, except share data)</t>
  </si>
  <si>
    <t>Effective tax rate</t>
  </si>
  <si>
    <t>Model Assumptions</t>
  </si>
  <si>
    <t>Average</t>
  </si>
  <si>
    <t>Comments</t>
  </si>
  <si>
    <t>Cost of Equity</t>
  </si>
  <si>
    <t xml:space="preserve">     Equity Risk Premium</t>
  </si>
  <si>
    <t xml:space="preserve"> (x) Beta</t>
  </si>
  <si>
    <t xml:space="preserve"> (+) Risk Free Rate</t>
  </si>
  <si>
    <t>Cost of Debt</t>
  </si>
  <si>
    <t xml:space="preserve"> Average Yield on Debt</t>
  </si>
  <si>
    <t xml:space="preserve"> (x) Tax Shield</t>
  </si>
  <si>
    <t>WACC</t>
  </si>
  <si>
    <t xml:space="preserve">  Percent of equity</t>
  </si>
  <si>
    <t>. Percent of debt</t>
  </si>
  <si>
    <t>Interest Payments Schedule</t>
  </si>
  <si>
    <t>Coupon of MTD bonds</t>
  </si>
  <si>
    <t>EV/EBITDA</t>
  </si>
  <si>
    <t>Equity Value</t>
  </si>
  <si>
    <t>Recommendation</t>
  </si>
  <si>
    <t>SELL</t>
  </si>
  <si>
    <t>EV/Revenue</t>
  </si>
  <si>
    <t>Market Data</t>
  </si>
  <si>
    <t>MTD</t>
  </si>
  <si>
    <t>Company</t>
  </si>
  <si>
    <t>WAT</t>
  </si>
  <si>
    <t>IDXX</t>
  </si>
  <si>
    <t>DHR</t>
  </si>
  <si>
    <t>TMO</t>
  </si>
  <si>
    <t>Comparable Companies Analysis</t>
  </si>
  <si>
    <t>Financials</t>
  </si>
  <si>
    <t>Valuation</t>
  </si>
  <si>
    <t>Ticker</t>
  </si>
  <si>
    <t>Share 
Price</t>
  </si>
  <si>
    <t>Shares Outstanding</t>
  </si>
  <si>
    <t>Net Debt</t>
  </si>
  <si>
    <t>Enterprise 
Value</t>
  </si>
  <si>
    <t>EBITDA</t>
  </si>
  <si>
    <t>P/E</t>
  </si>
  <si>
    <t>High</t>
  </si>
  <si>
    <t>75th Percentile</t>
  </si>
  <si>
    <t>Median</t>
  </si>
  <si>
    <t>25th Percentile</t>
  </si>
  <si>
    <t>Low</t>
  </si>
  <si>
    <t>Implied Enterprise Value</t>
  </si>
  <si>
    <t>Implied Market Value</t>
  </si>
  <si>
    <t>Implied Value Per Share</t>
  </si>
  <si>
    <t xml:space="preserve"> </t>
  </si>
  <si>
    <t xml:space="preserve">Current Share Price </t>
  </si>
  <si>
    <t xml:space="preserve">Fair Value </t>
  </si>
  <si>
    <t>Potential Upside/ Downside</t>
  </si>
  <si>
    <r>
      <t xml:space="preserve">USD$ Millions (EXPECT FOR </t>
    </r>
    <r>
      <rPr>
        <sz val="12"/>
        <color theme="0"/>
        <rFont val="Calibri"/>
        <family val="2"/>
      </rPr>
      <t>METTLER TOLEDO</t>
    </r>
    <r>
      <rPr>
        <b/>
        <sz val="12"/>
        <color theme="0"/>
        <rFont val="Calibri"/>
        <family val="2"/>
      </rPr>
      <t>)</t>
    </r>
  </si>
  <si>
    <t>IQV</t>
  </si>
  <si>
    <t>Waters Corporation</t>
  </si>
  <si>
    <t>IQVIA Holdings Inc.</t>
  </si>
  <si>
    <t>Mettler ToledoInternational Inc.</t>
  </si>
  <si>
    <t>Danaher Corporation</t>
  </si>
  <si>
    <t>Thermo Fisher Scientific Inc.</t>
  </si>
  <si>
    <t>https://tradingeconomics.com/bonds</t>
  </si>
  <si>
    <t>http://pages.stern.nyu.edu/~adamodar/New_Home_Page/datafile/ctryprem.html</t>
  </si>
  <si>
    <t>Fiscal year</t>
  </si>
  <si>
    <t>Abnormal profit</t>
  </si>
  <si>
    <t>Abnormal ROE</t>
  </si>
  <si>
    <t>Abnormal profit growth</t>
  </si>
  <si>
    <t>Abnormal NOPAT</t>
  </si>
  <si>
    <t>Abnormal RNOA</t>
  </si>
  <si>
    <t>Abnormal NOPAT growth</t>
  </si>
  <si>
    <t>Discount rates</t>
  </si>
  <si>
    <t>Equity</t>
  </si>
  <si>
    <t>Net operating assets</t>
  </si>
  <si>
    <t>Growth factors</t>
  </si>
  <si>
    <t>Discount factor</t>
  </si>
  <si>
    <t>PV of Free cash flow to equity</t>
  </si>
  <si>
    <t>Terminal value - scenario 1</t>
  </si>
  <si>
    <t>Terminal value - scenario 2</t>
  </si>
  <si>
    <t>Terminal value - scenario 3</t>
  </si>
  <si>
    <t>Equity value - scenario 1</t>
  </si>
  <si>
    <t>Equity value - scenario 2</t>
  </si>
  <si>
    <t>Equity value - scenario 3</t>
  </si>
  <si>
    <t>https://stockanalysis.com/stocks/mtd/statistics</t>
  </si>
  <si>
    <t>Growth Forecast</t>
  </si>
  <si>
    <t>Income after Tax</t>
  </si>
  <si>
    <t>Net Income (Adjusted)</t>
  </si>
  <si>
    <t>IDEXX Laboratories Inc.</t>
  </si>
  <si>
    <t>Growth rate</t>
  </si>
  <si>
    <t>Equity valuation (million$)</t>
  </si>
  <si>
    <t xml:space="preserve">Asset valuation </t>
  </si>
  <si>
    <t>Dates</t>
  </si>
  <si>
    <t>Fiscal year end date</t>
  </si>
  <si>
    <t>Valuation date</t>
  </si>
  <si>
    <t>In USD millions</t>
  </si>
  <si>
    <t>Sum of PV of Free cash flows to equity - forecast horizon</t>
  </si>
  <si>
    <t>Value per share - scenario 3 (in USD)</t>
  </si>
  <si>
    <t>No of shares outstanding</t>
  </si>
  <si>
    <t>Weighted Average Cost of Capital (WACC)</t>
  </si>
  <si>
    <t xml:space="preserve">Preferred Stock </t>
  </si>
  <si>
    <t xml:space="preserve">Common Stock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</si>
</sst>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_-* #,##0.00_-;\-* #,##0.00_-;_-* &quot;-&quot;??_-;_-@_-"/>
    <numFmt numFmtId="165" formatCode="#,##0.0"/>
    <numFmt numFmtId="166" formatCode="#,##0.00;\(#,##0.00\)\ "/>
    <numFmt numFmtId="167" formatCode="#,##0;\(#,##0\)\ "/>
    <numFmt numFmtId="168" formatCode="#,##0;\(#,##0\)"/>
    <numFmt numFmtId="169" formatCode="#,##0.00;\(#,##0.00\)"/>
    <numFmt numFmtId="170" formatCode="#,##0.00;\(#,##0.00%\)"/>
    <numFmt numFmtId="171" formatCode="0.0%"/>
    <numFmt numFmtId="172" formatCode="#,##0.000%;\(#,##0.00%\)"/>
    <numFmt numFmtId="173" formatCode="#,##0.0;\(#,##0.0\)"/>
    <numFmt numFmtId="174" formatCode="#,##0.00%;\(#,##0.00%\)"/>
    <numFmt numFmtId="175" formatCode="0.000"/>
    <numFmt numFmtId="176" formatCode="#,##0.0\x"/>
    <numFmt numFmtId="177" formatCode="_-* #,##0.00_-;\-* #,##0.00_-;_-* &quot;-&quot;??_-;_-@"/>
    <numFmt numFmtId="178" formatCode="_-* #,##0_-;\-* #,##0_-;_-* &quot;-&quot;??_-;_-@"/>
    <numFmt numFmtId="179" formatCode="#,##0.00\x"/>
    <numFmt numFmtId="180" formatCode="_-* #,##0.0_-;\-* #,##0.0_-;_-* &quot;-&quot;??_-;_-@"/>
    <numFmt numFmtId="181" formatCode="_-* #,##0.00\ _€_-;\-* #,##0.00\ _€_-;_-* &quot;-&quot;??\ _€_-;_-@"/>
    <numFmt numFmtId="182" formatCode="[Color50]#,##0.00%;[Red]\(#,##0.00%\)"/>
    <numFmt numFmtId="183" formatCode="#,##0;\(#,##0\);&quot;-&quot;"/>
    <numFmt numFmtId="184" formatCode="#,##0;\(#,##0.00\)"/>
    <numFmt numFmtId="185" formatCode="#,##0.0%;\(#,##0.0%\)"/>
    <numFmt numFmtId="186" formatCode="#,##0.0;\(#,##0.0%\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sz val="10"/>
      <color indexed="63"/>
      <name val="Arial"/>
      <family val="2"/>
    </font>
    <font>
      <i/>
      <sz val="10"/>
      <color indexed="63"/>
      <name val="Arial"/>
      <family val="2"/>
    </font>
    <font>
      <b/>
      <sz val="16"/>
      <color indexed="9"/>
      <name val="Arial"/>
      <family val="2"/>
    </font>
    <font>
      <sz val="10"/>
      <name val="Calibri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2"/>
      <color indexed="63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63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i/>
      <sz val="12"/>
      <color indexed="63"/>
      <name val="Calibri"/>
      <family val="2"/>
      <scheme val="minor"/>
    </font>
    <font>
      <i/>
      <sz val="12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2"/>
      <color theme="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color theme="4" tint="0.39997558519241921"/>
      <name val="Calibri"/>
      <family val="2"/>
      <scheme val="minor"/>
    </font>
    <font>
      <b/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8"/>
      <color rgb="FF293D68"/>
      <name val="Calibri"/>
      <family val="2"/>
    </font>
    <font>
      <sz val="12"/>
      <color theme="1"/>
      <name val="Calibri"/>
      <family val="2"/>
    </font>
    <font>
      <b/>
      <sz val="12"/>
      <color theme="0"/>
      <name val="Calibri"/>
      <family val="2"/>
    </font>
    <font>
      <sz val="12"/>
      <color rgb="FF0432FF"/>
      <name val="Calibri"/>
      <family val="2"/>
    </font>
    <font>
      <b/>
      <sz val="12"/>
      <color theme="1"/>
      <name val="Calibri"/>
      <family val="2"/>
    </font>
    <font>
      <b/>
      <sz val="12"/>
      <color rgb="FF0432FF"/>
      <name val="Calibri"/>
      <family val="2"/>
    </font>
    <font>
      <sz val="14"/>
      <color rgb="FF000000"/>
      <name val="Arial"/>
      <family val="2"/>
    </font>
    <font>
      <sz val="12"/>
      <color theme="0"/>
      <name val="Calibri"/>
      <family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EA8436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name val="Calibri body"/>
    </font>
    <font>
      <sz val="11"/>
      <color theme="1"/>
      <name val="Calibri body"/>
    </font>
    <font>
      <b/>
      <sz val="11"/>
      <color theme="1"/>
      <name val="Calibri body"/>
    </font>
    <font>
      <sz val="11"/>
      <name val="Calibri body"/>
    </font>
    <font>
      <sz val="11"/>
      <color rgb="FFFF0000"/>
      <name val="Calibri body"/>
    </font>
    <font>
      <b/>
      <sz val="11"/>
      <color indexed="9"/>
      <name val="Calibri body"/>
    </font>
    <font>
      <sz val="11"/>
      <color indexed="8"/>
      <name val="Calibri body"/>
    </font>
    <font>
      <sz val="11"/>
      <color rgb="FFFF0000"/>
      <name val="Arial"/>
      <family val="2"/>
    </font>
    <font>
      <sz val="11"/>
      <color rgb="FF0070C0"/>
      <name val="Calibri body"/>
    </font>
    <font>
      <b/>
      <sz val="11"/>
      <color rgb="FF0070C0"/>
      <name val="Calibri body"/>
    </font>
    <font>
      <u/>
      <sz val="11"/>
      <color rgb="FF0070C0"/>
      <name val="Calibri body"/>
    </font>
    <font>
      <b/>
      <sz val="11"/>
      <color rgb="FF000000"/>
      <name val="Calibri body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93D68"/>
        <bgColor rgb="FF293D68"/>
      </patternFill>
    </fill>
    <fill>
      <patternFill patternType="solid">
        <fgColor rgb="FFD9E2F3"/>
        <bgColor rgb="FFD9E2F3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FFFF00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293D68"/>
      </bottom>
      <diagonal/>
    </border>
    <border>
      <left/>
      <right/>
      <top/>
      <bottom style="thin">
        <color theme="0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auto="1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7" fillId="33" borderId="0"/>
    <xf numFmtId="0" fontId="22" fillId="33" borderId="12">
      <alignment horizontal="right"/>
    </xf>
    <xf numFmtId="0" fontId="21" fillId="34" borderId="0" applyNumberFormat="0" applyBorder="0" applyProtection="0">
      <alignment horizontal="center"/>
    </xf>
    <xf numFmtId="0" fontId="22" fillId="33" borderId="14">
      <alignment horizontal="right"/>
    </xf>
    <xf numFmtId="0" fontId="22" fillId="33" borderId="14">
      <alignment horizontal="left"/>
    </xf>
    <xf numFmtId="0" fontId="24" fillId="35" borderId="15" applyNumberFormat="0" applyAlignment="0" applyProtection="0"/>
    <xf numFmtId="0" fontId="23" fillId="34" borderId="11"/>
    <xf numFmtId="0" fontId="19" fillId="34" borderId="11"/>
    <xf numFmtId="0" fontId="18" fillId="34" borderId="11"/>
    <xf numFmtId="0" fontId="26" fillId="4" borderId="0" applyNumberFormat="0" applyBorder="0" applyAlignment="0" applyProtection="0"/>
    <xf numFmtId="0" fontId="25" fillId="0" borderId="0" applyNumberFormat="0" applyFill="0" applyBorder="0" applyAlignment="0" applyProtection="0"/>
    <xf numFmtId="0" fontId="20" fillId="33" borderId="16" applyNumberFormat="0" applyProtection="0">
      <alignment horizontal="left" vertical="center" readingOrder="1"/>
    </xf>
    <xf numFmtId="0" fontId="22" fillId="33" borderId="12">
      <alignment horizontal="left"/>
    </xf>
    <xf numFmtId="3" fontId="16" fillId="34" borderId="13">
      <alignment horizontal="right"/>
    </xf>
    <xf numFmtId="165" fontId="16" fillId="34" borderId="13">
      <alignment horizontal="right"/>
    </xf>
    <xf numFmtId="4" fontId="16" fillId="34" borderId="13">
      <alignment horizontal="right"/>
    </xf>
    <xf numFmtId="3" fontId="23" fillId="34" borderId="13">
      <alignment horizontal="right"/>
    </xf>
    <xf numFmtId="165" fontId="23" fillId="34" borderId="13">
      <alignment horizontal="right"/>
    </xf>
    <xf numFmtId="4" fontId="23" fillId="34" borderId="13">
      <alignment horizontal="right"/>
    </xf>
    <xf numFmtId="165" fontId="24" fillId="34" borderId="13">
      <alignment horizontal="right"/>
    </xf>
    <xf numFmtId="0" fontId="4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4" borderId="0" applyNumberFormat="0" applyBorder="0" applyAlignment="0" applyProtection="0"/>
    <xf numFmtId="0" fontId="56" fillId="36" borderId="0" applyFont="0" applyBorder="0" applyAlignment="0"/>
    <xf numFmtId="0" fontId="59" fillId="0" borderId="0" applyNumberFormat="0" applyFill="0" applyBorder="0" applyAlignment="0" applyProtection="0"/>
  </cellStyleXfs>
  <cellXfs count="459">
    <xf numFmtId="0" fontId="0" fillId="0" borderId="0" xfId="0"/>
    <xf numFmtId="0" fontId="27" fillId="0" borderId="0" xfId="48" applyFont="1" applyFill="1" applyBorder="1"/>
    <xf numFmtId="0" fontId="29" fillId="0" borderId="0" xfId="0" applyFont="1"/>
    <xf numFmtId="0" fontId="28" fillId="0" borderId="0" xfId="51" applyFont="1" applyFill="1" applyBorder="1" applyAlignment="1">
      <alignment horizontal="center" vertical="center" readingOrder="1"/>
    </xf>
    <xf numFmtId="0" fontId="30" fillId="0" borderId="0" xfId="42" applyFont="1" applyFill="1" applyBorder="1">
      <alignment horizontal="center"/>
    </xf>
    <xf numFmtId="0" fontId="34" fillId="0" borderId="0" xfId="42" applyFont="1" applyFill="1" applyBorder="1">
      <alignment horizontal="center"/>
    </xf>
    <xf numFmtId="0" fontId="32" fillId="0" borderId="0" xfId="48" applyFont="1" applyFill="1" applyBorder="1"/>
    <xf numFmtId="166" fontId="33" fillId="0" borderId="0" xfId="54" applyNumberFormat="1" applyFont="1" applyFill="1" applyBorder="1">
      <alignment horizontal="right"/>
    </xf>
    <xf numFmtId="0" fontId="31" fillId="0" borderId="0" xfId="46" applyFont="1" applyFill="1" applyBorder="1"/>
    <xf numFmtId="166" fontId="31" fillId="0" borderId="0" xfId="56" applyNumberFormat="1" applyFont="1" applyFill="1" applyBorder="1">
      <alignment horizontal="right"/>
    </xf>
    <xf numFmtId="3" fontId="31" fillId="0" borderId="0" xfId="56" applyFont="1" applyFill="1" applyBorder="1">
      <alignment horizontal="right"/>
    </xf>
    <xf numFmtId="166" fontId="33" fillId="0" borderId="0" xfId="55" applyNumberFormat="1" applyFont="1" applyFill="1" applyBorder="1">
      <alignment horizontal="right"/>
    </xf>
    <xf numFmtId="0" fontId="28" fillId="0" borderId="0" xfId="44" applyFont="1" applyFill="1" applyBorder="1">
      <alignment horizontal="left"/>
    </xf>
    <xf numFmtId="0" fontId="28" fillId="0" borderId="0" xfId="43" applyFont="1" applyFill="1" applyBorder="1">
      <alignment horizontal="right"/>
    </xf>
    <xf numFmtId="0" fontId="28" fillId="0" borderId="0" xfId="52" applyFont="1" applyFill="1" applyBorder="1">
      <alignment horizontal="left"/>
    </xf>
    <xf numFmtId="0" fontId="28" fillId="0" borderId="0" xfId="41" applyFont="1" applyFill="1" applyBorder="1">
      <alignment horizontal="right"/>
    </xf>
    <xf numFmtId="166" fontId="31" fillId="0" borderId="0" xfId="57" applyNumberFormat="1" applyFont="1" applyFill="1" applyBorder="1">
      <alignment horizontal="right"/>
    </xf>
    <xf numFmtId="0" fontId="35" fillId="0" borderId="0" xfId="47" applyFont="1" applyFill="1" applyBorder="1"/>
    <xf numFmtId="166" fontId="33" fillId="0" borderId="0" xfId="59" applyNumberFormat="1" applyFont="1" applyFill="1" applyBorder="1">
      <alignment horizontal="right"/>
    </xf>
    <xf numFmtId="0" fontId="36" fillId="0" borderId="0" xfId="45" applyFont="1" applyFill="1" applyBorder="1"/>
    <xf numFmtId="0" fontId="33" fillId="0" borderId="0" xfId="45" applyFont="1" applyFill="1" applyBorder="1"/>
    <xf numFmtId="166" fontId="33" fillId="0" borderId="0" xfId="53" applyNumberFormat="1" applyFont="1" applyFill="1" applyBorder="1">
      <alignment horizontal="right"/>
    </xf>
    <xf numFmtId="0" fontId="30" fillId="0" borderId="10" xfId="52" applyFont="1" applyFill="1" applyBorder="1">
      <alignment horizontal="left"/>
    </xf>
    <xf numFmtId="0" fontId="28" fillId="33" borderId="17" xfId="43" applyFont="1" applyBorder="1" applyAlignment="1">
      <alignment horizontal="center"/>
    </xf>
    <xf numFmtId="0" fontId="28" fillId="33" borderId="14" xfId="44" applyFont="1">
      <alignment horizontal="left"/>
    </xf>
    <xf numFmtId="0" fontId="28" fillId="33" borderId="12" xfId="52" applyFont="1">
      <alignment horizontal="left"/>
    </xf>
    <xf numFmtId="0" fontId="28" fillId="33" borderId="14" xfId="43" applyFont="1" applyAlignment="1">
      <alignment horizontal="center"/>
    </xf>
    <xf numFmtId="0" fontId="28" fillId="33" borderId="12" xfId="41" applyFont="1" applyAlignment="1">
      <alignment horizontal="center"/>
    </xf>
    <xf numFmtId="0" fontId="30" fillId="0" borderId="10" xfId="42" applyFont="1" applyFill="1" applyBorder="1" applyAlignment="1">
      <alignment horizontal="left" indent="2"/>
    </xf>
    <xf numFmtId="0" fontId="30" fillId="0" borderId="10" xfId="48" applyFont="1" applyFill="1" applyBorder="1"/>
    <xf numFmtId="0" fontId="30" fillId="0" borderId="10" xfId="48" applyFont="1" applyFill="1" applyBorder="1" applyAlignment="1">
      <alignment horizontal="left" indent="1"/>
    </xf>
    <xf numFmtId="0" fontId="30" fillId="0" borderId="10" xfId="48" applyFont="1" applyFill="1" applyBorder="1" applyAlignment="1">
      <alignment horizontal="left" indent="2"/>
    </xf>
    <xf numFmtId="0" fontId="30" fillId="0" borderId="12" xfId="47" applyFont="1" applyFill="1" applyBorder="1"/>
    <xf numFmtId="0" fontId="34" fillId="0" borderId="10" xfId="48" applyFont="1" applyFill="1" applyBorder="1"/>
    <xf numFmtId="0" fontId="30" fillId="0" borderId="10" xfId="47" applyFont="1" applyFill="1" applyBorder="1"/>
    <xf numFmtId="0" fontId="34" fillId="0" borderId="10" xfId="47" applyFont="1" applyFill="1" applyBorder="1" applyAlignment="1">
      <alignment horizontal="left" indent="1"/>
    </xf>
    <xf numFmtId="0" fontId="34" fillId="0" borderId="10" xfId="48" applyFont="1" applyFill="1" applyBorder="1" applyAlignment="1">
      <alignment horizontal="left" indent="1"/>
    </xf>
    <xf numFmtId="0" fontId="34" fillId="0" borderId="10" xfId="46" applyFont="1" applyFill="1" applyBorder="1" applyAlignment="1">
      <alignment horizontal="left" indent="1"/>
    </xf>
    <xf numFmtId="0" fontId="30" fillId="0" borderId="10" xfId="46" applyFont="1" applyFill="1" applyBorder="1"/>
    <xf numFmtId="0" fontId="30" fillId="0" borderId="10" xfId="46" applyFont="1" applyFill="1" applyBorder="1" applyAlignment="1">
      <alignment horizontal="left" indent="2"/>
    </xf>
    <xf numFmtId="0" fontId="34" fillId="0" borderId="10" xfId="46" applyFont="1" applyFill="1" applyBorder="1"/>
    <xf numFmtId="0" fontId="30" fillId="0" borderId="12" xfId="46" applyFont="1" applyFill="1" applyBorder="1" applyAlignment="1">
      <alignment horizontal="center"/>
    </xf>
    <xf numFmtId="0" fontId="30" fillId="0" borderId="10" xfId="48" applyFont="1" applyFill="1" applyBorder="1" applyAlignment="1">
      <alignment horizontal="center"/>
    </xf>
    <xf numFmtId="0" fontId="30" fillId="0" borderId="10" xfId="44" applyFont="1" applyFill="1" applyBorder="1">
      <alignment horizontal="left"/>
    </xf>
    <xf numFmtId="0" fontId="30" fillId="34" borderId="12" xfId="46" applyFont="1" applyBorder="1"/>
    <xf numFmtId="0" fontId="34" fillId="34" borderId="10" xfId="48" applyFont="1" applyBorder="1"/>
    <xf numFmtId="166" fontId="34" fillId="34" borderId="10" xfId="54" applyNumberFormat="1" applyFont="1" applyBorder="1">
      <alignment horizontal="right"/>
    </xf>
    <xf numFmtId="0" fontId="34" fillId="0" borderId="10" xfId="48" applyFont="1" applyFill="1" applyBorder="1" applyAlignment="1">
      <alignment horizontal="left" indent="2"/>
    </xf>
    <xf numFmtId="0" fontId="30" fillId="0" borderId="10" xfId="46" applyFont="1" applyFill="1" applyBorder="1" applyAlignment="1">
      <alignment horizontal="left" indent="1"/>
    </xf>
    <xf numFmtId="0" fontId="34" fillId="0" borderId="10" xfId="46" applyFont="1" applyFill="1" applyBorder="1" applyAlignment="1">
      <alignment horizontal="left" indent="2"/>
    </xf>
    <xf numFmtId="0" fontId="34" fillId="34" borderId="10" xfId="48" applyFont="1" applyBorder="1" applyAlignment="1">
      <alignment horizontal="left" indent="1"/>
    </xf>
    <xf numFmtId="0" fontId="30" fillId="34" borderId="10" xfId="46" applyFont="1" applyBorder="1"/>
    <xf numFmtId="0" fontId="34" fillId="34" borderId="10" xfId="46" applyFont="1" applyBorder="1"/>
    <xf numFmtId="0" fontId="34" fillId="34" borderId="10" xfId="47" applyFont="1" applyBorder="1"/>
    <xf numFmtId="0" fontId="30" fillId="34" borderId="10" xfId="48" applyFont="1" applyBorder="1"/>
    <xf numFmtId="0" fontId="37" fillId="0" borderId="0" xfId="0" applyFont="1"/>
    <xf numFmtId="167" fontId="30" fillId="34" borderId="12" xfId="57" applyNumberFormat="1" applyFont="1" applyBorder="1">
      <alignment horizontal="right"/>
    </xf>
    <xf numFmtId="167" fontId="34" fillId="34" borderId="10" xfId="54" applyNumberFormat="1" applyFont="1" applyBorder="1">
      <alignment horizontal="right"/>
    </xf>
    <xf numFmtId="167" fontId="30" fillId="34" borderId="10" xfId="57" applyNumberFormat="1" applyFont="1" applyBorder="1">
      <alignment horizontal="right"/>
    </xf>
    <xf numFmtId="167" fontId="34" fillId="34" borderId="10" xfId="59" applyNumberFormat="1" applyFont="1" applyBorder="1">
      <alignment horizontal="right"/>
    </xf>
    <xf numFmtId="167" fontId="30" fillId="34" borderId="10" xfId="54" applyNumberFormat="1" applyFont="1" applyBorder="1">
      <alignment horizontal="right"/>
    </xf>
    <xf numFmtId="167" fontId="30" fillId="0" borderId="10" xfId="54" applyNumberFormat="1" applyFont="1" applyFill="1" applyBorder="1">
      <alignment horizontal="right"/>
    </xf>
    <xf numFmtId="167" fontId="30" fillId="0" borderId="10" xfId="57" applyNumberFormat="1" applyFont="1" applyFill="1" applyBorder="1">
      <alignment horizontal="right"/>
    </xf>
    <xf numFmtId="167" fontId="34" fillId="0" borderId="10" xfId="54" applyNumberFormat="1" applyFont="1" applyFill="1" applyBorder="1">
      <alignment horizontal="right"/>
    </xf>
    <xf numFmtId="167" fontId="30" fillId="0" borderId="10" xfId="56" applyNumberFormat="1" applyFont="1" applyFill="1" applyBorder="1">
      <alignment horizontal="right"/>
    </xf>
    <xf numFmtId="167" fontId="30" fillId="0" borderId="12" xfId="58" applyNumberFormat="1" applyFont="1" applyFill="1" applyBorder="1">
      <alignment horizontal="right"/>
    </xf>
    <xf numFmtId="167" fontId="30" fillId="0" borderId="10" xfId="58" applyNumberFormat="1" applyFont="1" applyFill="1" applyBorder="1">
      <alignment horizontal="right"/>
    </xf>
    <xf numFmtId="167" fontId="34" fillId="0" borderId="10" xfId="53" applyNumberFormat="1" applyFont="1" applyFill="1" applyBorder="1">
      <alignment horizontal="right"/>
    </xf>
    <xf numFmtId="167" fontId="34" fillId="0" borderId="10" xfId="55" applyNumberFormat="1" applyFont="1" applyFill="1" applyBorder="1">
      <alignment horizontal="right"/>
    </xf>
    <xf numFmtId="167" fontId="30" fillId="0" borderId="10" xfId="55" applyNumberFormat="1" applyFont="1" applyFill="1" applyBorder="1">
      <alignment horizontal="right"/>
    </xf>
    <xf numFmtId="167" fontId="30" fillId="0" borderId="10" xfId="45" applyNumberFormat="1" applyFont="1" applyFill="1" applyBorder="1"/>
    <xf numFmtId="167" fontId="30" fillId="0" borderId="10" xfId="43" applyNumberFormat="1" applyFont="1" applyFill="1" applyBorder="1">
      <alignment horizontal="right"/>
    </xf>
    <xf numFmtId="167" fontId="30" fillId="0" borderId="10" xfId="41" applyNumberFormat="1" applyFont="1" applyFill="1" applyBorder="1">
      <alignment horizontal="right"/>
    </xf>
    <xf numFmtId="167" fontId="31" fillId="0" borderId="12" xfId="59" applyNumberFormat="1" applyFont="1" applyFill="1" applyBorder="1">
      <alignment horizontal="right"/>
    </xf>
    <xf numFmtId="167" fontId="33" fillId="0" borderId="10" xfId="54" applyNumberFormat="1" applyFont="1" applyFill="1" applyBorder="1">
      <alignment horizontal="right"/>
    </xf>
    <xf numFmtId="167" fontId="31" fillId="0" borderId="10" xfId="59" applyNumberFormat="1" applyFont="1" applyFill="1" applyBorder="1">
      <alignment horizontal="right"/>
    </xf>
    <xf numFmtId="167" fontId="33" fillId="0" borderId="10" xfId="59" applyNumberFormat="1" applyFont="1" applyFill="1" applyBorder="1">
      <alignment horizontal="right"/>
    </xf>
    <xf numFmtId="167" fontId="31" fillId="0" borderId="10" xfId="54" applyNumberFormat="1" applyFont="1" applyFill="1" applyBorder="1">
      <alignment horizontal="right"/>
    </xf>
    <xf numFmtId="167" fontId="31" fillId="0" borderId="10" xfId="57" applyNumberFormat="1" applyFont="1" applyFill="1" applyBorder="1">
      <alignment horizontal="right"/>
    </xf>
    <xf numFmtId="167" fontId="31" fillId="0" borderId="10" xfId="56" applyNumberFormat="1" applyFont="1" applyFill="1" applyBorder="1">
      <alignment horizontal="right"/>
    </xf>
    <xf numFmtId="167" fontId="31" fillId="0" borderId="10" xfId="55" applyNumberFormat="1" applyFont="1" applyFill="1" applyBorder="1">
      <alignment horizontal="right"/>
    </xf>
    <xf numFmtId="167" fontId="33" fillId="0" borderId="10" xfId="55" applyNumberFormat="1" applyFont="1" applyFill="1" applyBorder="1">
      <alignment horizontal="right"/>
    </xf>
    <xf numFmtId="167" fontId="34" fillId="34" borderId="10" xfId="57" applyNumberFormat="1" applyFont="1" applyBorder="1">
      <alignment horizontal="right"/>
    </xf>
    <xf numFmtId="0" fontId="30" fillId="34" borderId="10" xfId="47" applyFont="1" applyBorder="1" applyAlignment="1">
      <alignment horizontal="left" indent="1"/>
    </xf>
    <xf numFmtId="167" fontId="30" fillId="34" borderId="10" xfId="59" applyNumberFormat="1" applyFont="1" applyBorder="1">
      <alignment horizontal="right"/>
    </xf>
    <xf numFmtId="0" fontId="30" fillId="34" borderId="10" xfId="48" applyFont="1" applyBorder="1" applyAlignment="1">
      <alignment horizontal="left" indent="1"/>
    </xf>
    <xf numFmtId="167" fontId="34" fillId="0" borderId="10" xfId="57" applyNumberFormat="1" applyFont="1" applyFill="1" applyBorder="1">
      <alignment horizontal="right"/>
    </xf>
    <xf numFmtId="167" fontId="34" fillId="0" borderId="10" xfId="58" applyNumberFormat="1" applyFont="1" applyFill="1" applyBorder="1">
      <alignment horizontal="right"/>
    </xf>
    <xf numFmtId="167" fontId="34" fillId="0" borderId="10" xfId="56" applyNumberFormat="1" applyFont="1" applyFill="1" applyBorder="1">
      <alignment horizontal="right"/>
    </xf>
    <xf numFmtId="0" fontId="34" fillId="0" borderId="10" xfId="48" applyFont="1" applyFill="1" applyBorder="1" applyAlignment="1">
      <alignment horizontal="left"/>
    </xf>
    <xf numFmtId="167" fontId="33" fillId="0" borderId="10" xfId="57" applyNumberFormat="1" applyFont="1" applyFill="1" applyBorder="1">
      <alignment horizontal="right"/>
    </xf>
    <xf numFmtId="167" fontId="33" fillId="0" borderId="10" xfId="56" applyNumberFormat="1" applyFont="1" applyFill="1" applyBorder="1">
      <alignment horizontal="right"/>
    </xf>
    <xf numFmtId="167" fontId="37" fillId="0" borderId="0" xfId="0" applyNumberFormat="1" applyFont="1"/>
    <xf numFmtId="0" fontId="0" fillId="0" borderId="10" xfId="0" applyBorder="1"/>
    <xf numFmtId="0" fontId="28" fillId="33" borderId="10" xfId="43" applyFont="1" applyBorder="1" applyAlignment="1">
      <alignment horizontal="center"/>
    </xf>
    <xf numFmtId="0" fontId="30" fillId="0" borderId="10" xfId="42" applyFont="1" applyFill="1" applyBorder="1" applyAlignment="1"/>
    <xf numFmtId="0" fontId="34" fillId="0" borderId="10" xfId="47" applyFont="1" applyFill="1" applyBorder="1"/>
    <xf numFmtId="0" fontId="30" fillId="34" borderId="10" xfId="46" applyFont="1" applyBorder="1" applyAlignment="1">
      <alignment horizontal="left"/>
    </xf>
    <xf numFmtId="0" fontId="34" fillId="34" borderId="10" xfId="48" applyFont="1" applyBorder="1" applyAlignment="1">
      <alignment horizontal="left"/>
    </xf>
    <xf numFmtId="0" fontId="30" fillId="34" borderId="10" xfId="48" applyFont="1" applyBorder="1" applyAlignment="1">
      <alignment horizontal="left"/>
    </xf>
    <xf numFmtId="0" fontId="34" fillId="34" borderId="10" xfId="46" applyFont="1" applyBorder="1" applyAlignment="1">
      <alignment horizontal="left"/>
    </xf>
    <xf numFmtId="0" fontId="34" fillId="34" borderId="10" xfId="47" applyFont="1" applyBorder="1" applyAlignment="1">
      <alignment horizontal="left"/>
    </xf>
    <xf numFmtId="0" fontId="30" fillId="34" borderId="10" xfId="47" applyFont="1" applyBorder="1" applyAlignment="1">
      <alignment horizontal="left"/>
    </xf>
    <xf numFmtId="168" fontId="0" fillId="0" borderId="10" xfId="0" applyNumberFormat="1" applyBorder="1"/>
    <xf numFmtId="0" fontId="14" fillId="0" borderId="0" xfId="0" applyFont="1"/>
    <xf numFmtId="0" fontId="28" fillId="0" borderId="10" xfId="43" applyFont="1" applyFill="1" applyBorder="1" applyAlignment="1">
      <alignment horizontal="center"/>
    </xf>
    <xf numFmtId="0" fontId="41" fillId="0" borderId="10" xfId="42" applyFont="1" applyFill="1" applyBorder="1" applyAlignment="1">
      <alignment vertical="center" wrapText="1"/>
    </xf>
    <xf numFmtId="0" fontId="42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/>
    </xf>
    <xf numFmtId="0" fontId="29" fillId="0" borderId="10" xfId="0" applyFont="1" applyBorder="1"/>
    <xf numFmtId="0" fontId="34" fillId="0" borderId="10" xfId="0" applyFont="1" applyBorder="1"/>
    <xf numFmtId="0" fontId="43" fillId="0" borderId="10" xfId="0" applyFont="1" applyBorder="1" applyAlignment="1">
      <alignment horizontal="center" vertical="center"/>
    </xf>
    <xf numFmtId="0" fontId="37" fillId="0" borderId="10" xfId="0" applyFont="1" applyBorder="1"/>
    <xf numFmtId="0" fontId="43" fillId="0" borderId="10" xfId="0" applyFont="1" applyBorder="1" applyAlignment="1">
      <alignment vertical="center"/>
    </xf>
    <xf numFmtId="0" fontId="29" fillId="0" borderId="10" xfId="0" applyFont="1" applyBorder="1" applyAlignment="1">
      <alignment vertical="justify"/>
    </xf>
    <xf numFmtId="0" fontId="37" fillId="0" borderId="10" xfId="0" applyFont="1" applyBorder="1" applyAlignment="1">
      <alignment wrapText="1"/>
    </xf>
    <xf numFmtId="0" fontId="29" fillId="0" borderId="10" xfId="0" applyFont="1" applyBorder="1" applyAlignment="1">
      <alignment horizontal="left" vertical="center" wrapText="1"/>
    </xf>
    <xf numFmtId="0" fontId="29" fillId="0" borderId="10" xfId="0" applyFont="1" applyBorder="1" applyAlignment="1">
      <alignment wrapText="1"/>
    </xf>
    <xf numFmtId="0" fontId="29" fillId="36" borderId="10" xfId="0" applyFont="1" applyFill="1" applyBorder="1" applyAlignment="1">
      <alignment vertical="justify"/>
    </xf>
    <xf numFmtId="0" fontId="34" fillId="36" borderId="10" xfId="0" applyFont="1" applyFill="1" applyBorder="1"/>
    <xf numFmtId="0" fontId="29" fillId="36" borderId="10" xfId="0" applyFont="1" applyFill="1" applyBorder="1" applyAlignment="1">
      <alignment horizontal="left"/>
    </xf>
    <xf numFmtId="0" fontId="29" fillId="36" borderId="10" xfId="0" applyFont="1" applyFill="1" applyBorder="1" applyAlignment="1">
      <alignment horizontal="left" vertical="center" wrapText="1"/>
    </xf>
    <xf numFmtId="0" fontId="29" fillId="36" borderId="10" xfId="0" applyFont="1" applyFill="1" applyBorder="1" applyAlignment="1">
      <alignment wrapText="1"/>
    </xf>
    <xf numFmtId="0" fontId="29" fillId="0" borderId="0" xfId="0" applyFont="1" applyAlignment="1">
      <alignment vertical="justify"/>
    </xf>
    <xf numFmtId="0" fontId="29" fillId="0" borderId="0" xfId="0" applyFont="1" applyAlignment="1">
      <alignment wrapText="1"/>
    </xf>
    <xf numFmtId="4" fontId="29" fillId="0" borderId="10" xfId="0" applyNumberFormat="1" applyFont="1" applyBorder="1"/>
    <xf numFmtId="4" fontId="37" fillId="0" borderId="10" xfId="0" applyNumberFormat="1" applyFont="1" applyBorder="1"/>
    <xf numFmtId="168" fontId="29" fillId="0" borderId="10" xfId="0" applyNumberFormat="1" applyFont="1" applyBorder="1"/>
    <xf numFmtId="3" fontId="29" fillId="0" borderId="10" xfId="0" applyNumberFormat="1" applyFont="1" applyBorder="1"/>
    <xf numFmtId="3" fontId="37" fillId="0" borderId="10" xfId="0" applyNumberFormat="1" applyFont="1" applyBorder="1"/>
    <xf numFmtId="0" fontId="30" fillId="0" borderId="10" xfId="0" applyFont="1" applyBorder="1" applyAlignment="1">
      <alignment vertical="justify"/>
    </xf>
    <xf numFmtId="0" fontId="30" fillId="0" borderId="10" xfId="60" applyFont="1" applyBorder="1" applyAlignment="1">
      <alignment vertical="justify"/>
    </xf>
    <xf numFmtId="0" fontId="34" fillId="0" borderId="10" xfId="60" applyFont="1" applyBorder="1"/>
    <xf numFmtId="0" fontId="34" fillId="0" borderId="10" xfId="0" applyFont="1" applyBorder="1" applyAlignment="1">
      <alignment horizontal="left" vertical="justify" indent="3"/>
    </xf>
    <xf numFmtId="0" fontId="37" fillId="0" borderId="10" xfId="60" applyFont="1" applyBorder="1"/>
    <xf numFmtId="0" fontId="34" fillId="0" borderId="10" xfId="0" quotePrefix="1" applyFont="1" applyBorder="1" applyAlignment="1">
      <alignment horizontal="left" vertical="justify" indent="3"/>
    </xf>
    <xf numFmtId="0" fontId="34" fillId="0" borderId="10" xfId="60" applyFont="1" applyBorder="1" applyAlignment="1">
      <alignment horizontal="left"/>
    </xf>
    <xf numFmtId="0" fontId="30" fillId="0" borderId="10" xfId="0" applyFont="1" applyBorder="1" applyAlignment="1">
      <alignment horizontal="left" vertical="justify" indent="3"/>
    </xf>
    <xf numFmtId="3" fontId="29" fillId="0" borderId="0" xfId="0" applyNumberFormat="1" applyFont="1"/>
    <xf numFmtId="0" fontId="30" fillId="0" borderId="10" xfId="0" applyFont="1" applyBorder="1" applyAlignment="1">
      <alignment horizontal="left" vertical="justify"/>
    </xf>
    <xf numFmtId="0" fontId="34" fillId="0" borderId="0" xfId="0" applyFont="1"/>
    <xf numFmtId="0" fontId="34" fillId="0" borderId="0" xfId="0" applyFont="1" applyAlignment="1">
      <alignment horizontal="left" vertical="justify" indent="3"/>
    </xf>
    <xf numFmtId="168" fontId="29" fillId="0" borderId="0" xfId="0" applyNumberFormat="1" applyFont="1"/>
    <xf numFmtId="0" fontId="30" fillId="0" borderId="0" xfId="0" applyFont="1"/>
    <xf numFmtId="0" fontId="34" fillId="0" borderId="10" xfId="0" applyFont="1" applyBorder="1" applyAlignment="1">
      <alignment vertical="justify"/>
    </xf>
    <xf numFmtId="9" fontId="29" fillId="0" borderId="10" xfId="0" applyNumberFormat="1" applyFont="1" applyBorder="1"/>
    <xf numFmtId="0" fontId="30" fillId="0" borderId="10" xfId="0" quotePrefix="1" applyFont="1" applyBorder="1" applyAlignment="1">
      <alignment vertical="justify"/>
    </xf>
    <xf numFmtId="0" fontId="30" fillId="0" borderId="10" xfId="0" quotePrefix="1" applyFont="1" applyBorder="1" applyAlignment="1">
      <alignment horizontal="left" vertical="justify" indent="3"/>
    </xf>
    <xf numFmtId="169" fontId="29" fillId="0" borderId="10" xfId="0" applyNumberFormat="1" applyFont="1" applyBorder="1"/>
    <xf numFmtId="168" fontId="37" fillId="0" borderId="10" xfId="0" applyNumberFormat="1" applyFont="1" applyBorder="1"/>
    <xf numFmtId="0" fontId="30" fillId="0" borderId="0" xfId="0" applyFont="1" applyAlignment="1">
      <alignment vertical="justify"/>
    </xf>
    <xf numFmtId="168" fontId="37" fillId="0" borderId="0" xfId="0" applyNumberFormat="1" applyFont="1"/>
    <xf numFmtId="0" fontId="30" fillId="0" borderId="10" xfId="0" applyFont="1" applyBorder="1"/>
    <xf numFmtId="0" fontId="34" fillId="0" borderId="10" xfId="0" applyFont="1" applyBorder="1" applyAlignment="1">
      <alignment wrapText="1"/>
    </xf>
    <xf numFmtId="9" fontId="29" fillId="0" borderId="10" xfId="62" applyFont="1" applyBorder="1"/>
    <xf numFmtId="9" fontId="29" fillId="0" borderId="10" xfId="62" applyFont="1" applyBorder="1" applyAlignment="1">
      <alignment horizontal="center"/>
    </xf>
    <xf numFmtId="9" fontId="29" fillId="0" borderId="0" xfId="62" applyFont="1"/>
    <xf numFmtId="9" fontId="28" fillId="33" borderId="10" xfId="62" applyFont="1" applyFill="1" applyBorder="1" applyAlignment="1">
      <alignment horizontal="center"/>
    </xf>
    <xf numFmtId="0" fontId="38" fillId="0" borderId="10" xfId="0" applyFont="1" applyBorder="1" applyAlignment="1">
      <alignment vertical="justify" wrapText="1"/>
    </xf>
    <xf numFmtId="0" fontId="39" fillId="0" borderId="10" xfId="0" applyFont="1" applyBorder="1" applyAlignment="1">
      <alignment vertical="justify" wrapText="1"/>
    </xf>
    <xf numFmtId="0" fontId="6" fillId="3" borderId="10" xfId="6" applyBorder="1" applyAlignment="1">
      <alignment vertical="justify" wrapText="1"/>
    </xf>
    <xf numFmtId="0" fontId="6" fillId="3" borderId="10" xfId="6" quotePrefix="1" applyBorder="1" applyAlignment="1">
      <alignment vertical="justify" wrapText="1"/>
    </xf>
    <xf numFmtId="0" fontId="44" fillId="3" borderId="10" xfId="6" quotePrefix="1" applyFont="1" applyBorder="1" applyAlignment="1">
      <alignment vertical="justify" wrapText="1"/>
    </xf>
    <xf numFmtId="0" fontId="44" fillId="3" borderId="10" xfId="6" applyFont="1" applyBorder="1" applyAlignment="1">
      <alignment vertical="justify" wrapText="1"/>
    </xf>
    <xf numFmtId="2" fontId="29" fillId="0" borderId="10" xfId="62" applyNumberFormat="1" applyFont="1" applyBorder="1" applyAlignment="1">
      <alignment horizontal="center"/>
    </xf>
    <xf numFmtId="164" fontId="0" fillId="0" borderId="10" xfId="61" applyFon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10" fontId="29" fillId="0" borderId="10" xfId="62" applyNumberFormat="1" applyFont="1" applyBorder="1" applyAlignment="1">
      <alignment horizontal="center"/>
    </xf>
    <xf numFmtId="10" fontId="37" fillId="0" borderId="10" xfId="62" applyNumberFormat="1" applyFont="1" applyBorder="1" applyAlignment="1">
      <alignment horizontal="center"/>
    </xf>
    <xf numFmtId="10" fontId="14" fillId="0" borderId="10" xfId="62" applyNumberFormat="1" applyFon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10" fontId="14" fillId="0" borderId="10" xfId="0" applyNumberFormat="1" applyFont="1" applyBorder="1" applyAlignment="1">
      <alignment horizontal="center"/>
    </xf>
    <xf numFmtId="170" fontId="29" fillId="0" borderId="10" xfId="62" applyNumberFormat="1" applyFont="1" applyBorder="1" applyAlignment="1">
      <alignment horizontal="center"/>
    </xf>
    <xf numFmtId="9" fontId="0" fillId="0" borderId="10" xfId="62" applyFont="1" applyBorder="1" applyAlignment="1">
      <alignment horizontal="center"/>
    </xf>
    <xf numFmtId="10" fontId="0" fillId="0" borderId="10" xfId="62" applyNumberFormat="1" applyFont="1" applyBorder="1" applyAlignment="1">
      <alignment horizontal="center"/>
    </xf>
    <xf numFmtId="172" fontId="29" fillId="0" borderId="10" xfId="62" applyNumberFormat="1" applyFont="1" applyBorder="1" applyAlignment="1">
      <alignment horizontal="center"/>
    </xf>
    <xf numFmtId="0" fontId="38" fillId="0" borderId="10" xfId="0" applyFont="1" applyBorder="1" applyAlignment="1">
      <alignment horizontal="left" vertical="justify"/>
    </xf>
    <xf numFmtId="0" fontId="37" fillId="36" borderId="10" xfId="0" applyFont="1" applyFill="1" applyBorder="1" applyAlignment="1">
      <alignment horizontal="left"/>
    </xf>
    <xf numFmtId="167" fontId="29" fillId="0" borderId="0" xfId="0" applyNumberFormat="1" applyFont="1"/>
    <xf numFmtId="168" fontId="14" fillId="0" borderId="10" xfId="0" applyNumberFormat="1" applyFont="1" applyBorder="1"/>
    <xf numFmtId="168" fontId="14" fillId="0" borderId="0" xfId="0" applyNumberFormat="1" applyFont="1"/>
    <xf numFmtId="171" fontId="34" fillId="0" borderId="10" xfId="62" applyNumberFormat="1" applyFont="1" applyBorder="1" applyAlignment="1">
      <alignment horizontal="right" vertical="center" wrapText="1"/>
    </xf>
    <xf numFmtId="10" fontId="34" fillId="0" borderId="10" xfId="62" applyNumberFormat="1" applyFont="1" applyBorder="1" applyAlignment="1">
      <alignment horizontal="right" vertical="center" wrapText="1"/>
    </xf>
    <xf numFmtId="169" fontId="37" fillId="0" borderId="10" xfId="0" applyNumberFormat="1" applyFont="1" applyBorder="1"/>
    <xf numFmtId="0" fontId="34" fillId="0" borderId="10" xfId="0" applyFont="1" applyBorder="1" applyAlignment="1">
      <alignment horizontal="center" vertical="center" wrapText="1"/>
    </xf>
    <xf numFmtId="173" fontId="29" fillId="0" borderId="10" xfId="0" applyNumberFormat="1" applyFont="1" applyBorder="1"/>
    <xf numFmtId="173" fontId="37" fillId="0" borderId="10" xfId="0" applyNumberFormat="1" applyFont="1" applyBorder="1"/>
    <xf numFmtId="10" fontId="29" fillId="0" borderId="10" xfId="0" applyNumberFormat="1" applyFont="1" applyBorder="1"/>
    <xf numFmtId="0" fontId="34" fillId="0" borderId="11" xfId="0" applyFont="1" applyBorder="1" applyAlignment="1">
      <alignment horizontal="center" vertical="center" wrapText="1"/>
    </xf>
    <xf numFmtId="9" fontId="28" fillId="33" borderId="10" xfId="62" applyFont="1" applyFill="1" applyBorder="1" applyAlignment="1">
      <alignment horizontal="center" wrapText="1"/>
    </xf>
    <xf numFmtId="0" fontId="37" fillId="0" borderId="18" xfId="0" applyFont="1" applyBorder="1"/>
    <xf numFmtId="0" fontId="29" fillId="0" borderId="18" xfId="0" applyFont="1" applyBorder="1"/>
    <xf numFmtId="173" fontId="29" fillId="0" borderId="14" xfId="0" applyNumberFormat="1" applyFont="1" applyBorder="1"/>
    <xf numFmtId="0" fontId="29" fillId="0" borderId="12" xfId="0" applyFont="1" applyBorder="1"/>
    <xf numFmtId="173" fontId="30" fillId="0" borderId="10" xfId="8" applyNumberFormat="1" applyFont="1" applyFill="1" applyBorder="1"/>
    <xf numFmtId="173" fontId="34" fillId="0" borderId="10" xfId="0" applyNumberFormat="1" applyFont="1" applyBorder="1"/>
    <xf numFmtId="174" fontId="29" fillId="0" borderId="10" xfId="0" applyNumberFormat="1" applyFont="1" applyBorder="1"/>
    <xf numFmtId="9" fontId="28" fillId="33" borderId="18" xfId="62" applyFont="1" applyFill="1" applyBorder="1" applyAlignment="1">
      <alignment horizontal="center"/>
    </xf>
    <xf numFmtId="171" fontId="34" fillId="0" borderId="18" xfId="62" applyNumberFormat="1" applyFont="1" applyBorder="1" applyAlignment="1">
      <alignment horizontal="right" vertical="center" wrapText="1"/>
    </xf>
    <xf numFmtId="10" fontId="34" fillId="0" borderId="18" xfId="62" applyNumberFormat="1" applyFont="1" applyBorder="1" applyAlignment="1">
      <alignment horizontal="right" vertical="center" wrapText="1"/>
    </xf>
    <xf numFmtId="173" fontId="29" fillId="0" borderId="18" xfId="0" applyNumberFormat="1" applyFont="1" applyBorder="1"/>
    <xf numFmtId="173" fontId="37" fillId="0" borderId="18" xfId="0" applyNumberFormat="1" applyFont="1" applyBorder="1"/>
    <xf numFmtId="173" fontId="29" fillId="0" borderId="20" xfId="0" applyNumberFormat="1" applyFont="1" applyBorder="1"/>
    <xf numFmtId="173" fontId="30" fillId="0" borderId="18" xfId="8" applyNumberFormat="1" applyFont="1" applyFill="1" applyBorder="1"/>
    <xf numFmtId="173" fontId="34" fillId="0" borderId="18" xfId="0" applyNumberFormat="1" applyFont="1" applyBorder="1"/>
    <xf numFmtId="0" fontId="29" fillId="0" borderId="19" xfId="0" applyFont="1" applyBorder="1"/>
    <xf numFmtId="9" fontId="29" fillId="0" borderId="18" xfId="62" applyFont="1" applyBorder="1"/>
    <xf numFmtId="174" fontId="29" fillId="0" borderId="18" xfId="0" applyNumberFormat="1" applyFont="1" applyBorder="1"/>
    <xf numFmtId="171" fontId="34" fillId="0" borderId="11" xfId="62" applyNumberFormat="1" applyFont="1" applyBorder="1" applyAlignment="1">
      <alignment horizontal="right" vertical="center" wrapText="1"/>
    </xf>
    <xf numFmtId="10" fontId="34" fillId="0" borderId="11" xfId="62" applyNumberFormat="1" applyFont="1" applyBorder="1" applyAlignment="1">
      <alignment horizontal="right" vertical="center" wrapText="1"/>
    </xf>
    <xf numFmtId="0" fontId="29" fillId="0" borderId="11" xfId="0" applyFont="1" applyBorder="1"/>
    <xf numFmtId="173" fontId="29" fillId="0" borderId="11" xfId="0" applyNumberFormat="1" applyFont="1" applyBorder="1"/>
    <xf numFmtId="173" fontId="37" fillId="0" borderId="11" xfId="0" applyNumberFormat="1" applyFont="1" applyBorder="1"/>
    <xf numFmtId="173" fontId="30" fillId="0" borderId="11" xfId="8" applyNumberFormat="1" applyFont="1" applyFill="1" applyBorder="1"/>
    <xf numFmtId="173" fontId="34" fillId="0" borderId="11" xfId="0" applyNumberFormat="1" applyFont="1" applyBorder="1"/>
    <xf numFmtId="9" fontId="29" fillId="0" borderId="11" xfId="62" applyFont="1" applyBorder="1"/>
    <xf numFmtId="10" fontId="29" fillId="0" borderId="11" xfId="0" applyNumberFormat="1" applyFont="1" applyBorder="1"/>
    <xf numFmtId="0" fontId="37" fillId="0" borderId="11" xfId="0" applyFont="1" applyBorder="1"/>
    <xf numFmtId="2" fontId="29" fillId="0" borderId="0" xfId="62" applyNumberFormat="1" applyFont="1"/>
    <xf numFmtId="0" fontId="47" fillId="0" borderId="10" xfId="0" applyFont="1" applyBorder="1"/>
    <xf numFmtId="0" fontId="50" fillId="0" borderId="22" xfId="0" applyFont="1" applyBorder="1"/>
    <xf numFmtId="0" fontId="51" fillId="0" borderId="22" xfId="0" applyFont="1" applyBorder="1"/>
    <xf numFmtId="0" fontId="52" fillId="38" borderId="0" xfId="0" applyFont="1" applyFill="1"/>
    <xf numFmtId="0" fontId="52" fillId="38" borderId="0" xfId="0" applyFont="1" applyFill="1" applyAlignment="1">
      <alignment horizontal="center"/>
    </xf>
    <xf numFmtId="0" fontId="52" fillId="38" borderId="0" xfId="0" applyFont="1" applyFill="1" applyAlignment="1">
      <alignment horizontal="center" vertical="center" wrapText="1"/>
    </xf>
    <xf numFmtId="0" fontId="52" fillId="38" borderId="0" xfId="0" applyFont="1" applyFill="1" applyAlignment="1">
      <alignment horizontal="center" vertical="center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51" fillId="39" borderId="24" xfId="0" applyFont="1" applyFill="1" applyBorder="1"/>
    <xf numFmtId="0" fontId="51" fillId="39" borderId="25" xfId="0" applyFont="1" applyFill="1" applyBorder="1" applyAlignment="1">
      <alignment horizontal="center"/>
    </xf>
    <xf numFmtId="177" fontId="53" fillId="39" borderId="25" xfId="0" applyNumberFormat="1" applyFont="1" applyFill="1" applyBorder="1"/>
    <xf numFmtId="178" fontId="51" fillId="39" borderId="25" xfId="0" applyNumberFormat="1" applyFont="1" applyFill="1" applyBorder="1"/>
    <xf numFmtId="178" fontId="53" fillId="39" borderId="25" xfId="0" applyNumberFormat="1" applyFont="1" applyFill="1" applyBorder="1"/>
    <xf numFmtId="179" fontId="51" fillId="39" borderId="25" xfId="0" applyNumberFormat="1" applyFont="1" applyFill="1" applyBorder="1"/>
    <xf numFmtId="176" fontId="51" fillId="39" borderId="26" xfId="0" applyNumberFormat="1" applyFont="1" applyFill="1" applyBorder="1"/>
    <xf numFmtId="0" fontId="51" fillId="0" borderId="0" xfId="0" applyFont="1" applyAlignment="1">
      <alignment horizontal="center"/>
    </xf>
    <xf numFmtId="177" fontId="53" fillId="0" borderId="0" xfId="0" applyNumberFormat="1" applyFont="1"/>
    <xf numFmtId="178" fontId="53" fillId="0" borderId="0" xfId="0" applyNumberFormat="1" applyFont="1"/>
    <xf numFmtId="178" fontId="51" fillId="0" borderId="25" xfId="0" applyNumberFormat="1" applyFont="1" applyBorder="1"/>
    <xf numFmtId="178" fontId="51" fillId="0" borderId="0" xfId="0" applyNumberFormat="1" applyFont="1"/>
    <xf numFmtId="179" fontId="51" fillId="0" borderId="25" xfId="0" applyNumberFormat="1" applyFont="1" applyBorder="1"/>
    <xf numFmtId="176" fontId="51" fillId="0" borderId="26" xfId="0" applyNumberFormat="1" applyFont="1" applyBorder="1"/>
    <xf numFmtId="180" fontId="53" fillId="0" borderId="0" xfId="0" applyNumberFormat="1" applyFont="1"/>
    <xf numFmtId="0" fontId="51" fillId="39" borderId="0" xfId="0" applyFont="1" applyFill="1"/>
    <xf numFmtId="176" fontId="51" fillId="39" borderId="0" xfId="0" applyNumberFormat="1" applyFont="1" applyFill="1"/>
    <xf numFmtId="0" fontId="54" fillId="39" borderId="0" xfId="0" applyFont="1" applyFill="1"/>
    <xf numFmtId="176" fontId="54" fillId="39" borderId="0" xfId="0" applyNumberFormat="1" applyFont="1" applyFill="1"/>
    <xf numFmtId="0" fontId="51" fillId="38" borderId="0" xfId="0" applyFont="1" applyFill="1"/>
    <xf numFmtId="180" fontId="52" fillId="38" borderId="0" xfId="0" applyNumberFormat="1" applyFont="1" applyFill="1" applyAlignment="1">
      <alignment horizontal="center" vertical="center"/>
    </xf>
    <xf numFmtId="181" fontId="51" fillId="0" borderId="0" xfId="0" applyNumberFormat="1" applyFont="1"/>
    <xf numFmtId="180" fontId="51" fillId="0" borderId="0" xfId="0" applyNumberFormat="1" applyFont="1"/>
    <xf numFmtId="0" fontId="54" fillId="39" borderId="27" xfId="0" applyFont="1" applyFill="1" applyBorder="1"/>
    <xf numFmtId="181" fontId="54" fillId="39" borderId="27" xfId="0" applyNumberFormat="1" applyFont="1" applyFill="1" applyBorder="1"/>
    <xf numFmtId="178" fontId="55" fillId="39" borderId="27" xfId="0" applyNumberFormat="1" applyFont="1" applyFill="1" applyBorder="1"/>
    <xf numFmtId="180" fontId="54" fillId="39" borderId="27" xfId="0" applyNumberFormat="1" applyFont="1" applyFill="1" applyBorder="1"/>
    <xf numFmtId="180" fontId="0" fillId="0" borderId="0" xfId="0" applyNumberFormat="1"/>
    <xf numFmtId="0" fontId="14" fillId="40" borderId="28" xfId="63" applyFont="1" applyFill="1" applyBorder="1"/>
    <xf numFmtId="177" fontId="14" fillId="40" borderId="29" xfId="63" applyNumberFormat="1" applyFont="1" applyFill="1" applyBorder="1"/>
    <xf numFmtId="0" fontId="14" fillId="40" borderId="30" xfId="63" applyFont="1" applyFill="1" applyBorder="1"/>
    <xf numFmtId="177" fontId="14" fillId="40" borderId="31" xfId="63" applyNumberFormat="1" applyFont="1" applyFill="1" applyBorder="1"/>
    <xf numFmtId="177" fontId="0" fillId="0" borderId="0" xfId="0" applyNumberFormat="1"/>
    <xf numFmtId="0" fontId="14" fillId="40" borderId="32" xfId="64" applyFont="1" applyFill="1" applyBorder="1"/>
    <xf numFmtId="180" fontId="53" fillId="39" borderId="25" xfId="0" applyNumberFormat="1" applyFont="1" applyFill="1" applyBorder="1"/>
    <xf numFmtId="182" fontId="58" fillId="40" borderId="33" xfId="62" applyNumberFormat="1" applyFont="1" applyFill="1" applyBorder="1"/>
    <xf numFmtId="0" fontId="39" fillId="6" borderId="5" xfId="8" applyFont="1"/>
    <xf numFmtId="0" fontId="13" fillId="36" borderId="0" xfId="64" applyFont="1"/>
    <xf numFmtId="0" fontId="13" fillId="0" borderId="0" xfId="14"/>
    <xf numFmtId="0" fontId="48" fillId="0" borderId="0" xfId="0" applyFont="1"/>
    <xf numFmtId="0" fontId="38" fillId="36" borderId="0" xfId="64" applyFont="1"/>
    <xf numFmtId="0" fontId="38" fillId="0" borderId="0" xfId="60" applyFont="1"/>
    <xf numFmtId="0" fontId="60" fillId="41" borderId="0" xfId="0" applyFont="1" applyFill="1" applyAlignment="1">
      <alignment horizontal="left"/>
    </xf>
    <xf numFmtId="0" fontId="0" fillId="41" borderId="0" xfId="0" applyFill="1" applyAlignment="1">
      <alignment horizontal="right"/>
    </xf>
    <xf numFmtId="0" fontId="0" fillId="41" borderId="0" xfId="0" applyFill="1"/>
    <xf numFmtId="0" fontId="61" fillId="41" borderId="28" xfId="0" applyFont="1" applyFill="1" applyBorder="1" applyAlignment="1">
      <alignment horizontal="left"/>
    </xf>
    <xf numFmtId="0" fontId="61" fillId="41" borderId="34" xfId="0" applyFont="1" applyFill="1" applyBorder="1" applyAlignment="1">
      <alignment horizontal="left"/>
    </xf>
    <xf numFmtId="0" fontId="48" fillId="41" borderId="34" xfId="0" applyFont="1" applyFill="1" applyBorder="1" applyAlignment="1">
      <alignment horizontal="right" vertical="top"/>
    </xf>
    <xf numFmtId="0" fontId="60" fillId="41" borderId="34" xfId="0" applyFont="1" applyFill="1" applyBorder="1" applyAlignment="1">
      <alignment horizontal="center" vertical="top"/>
    </xf>
    <xf numFmtId="0" fontId="48" fillId="41" borderId="39" xfId="0" applyFont="1" applyFill="1" applyBorder="1" applyAlignment="1">
      <alignment horizontal="left" vertical="top"/>
    </xf>
    <xf numFmtId="17" fontId="48" fillId="41" borderId="38" xfId="0" applyNumberFormat="1" applyFont="1" applyFill="1" applyBorder="1" applyAlignment="1">
      <alignment horizontal="center" vertical="top"/>
    </xf>
    <xf numFmtId="17" fontId="48" fillId="0" borderId="38" xfId="0" applyNumberFormat="1" applyFont="1" applyBorder="1" applyAlignment="1">
      <alignment horizontal="center"/>
    </xf>
    <xf numFmtId="0" fontId="48" fillId="41" borderId="30" xfId="0" applyFont="1" applyFill="1" applyBorder="1"/>
    <xf numFmtId="0" fontId="48" fillId="41" borderId="0" xfId="0" applyFont="1" applyFill="1"/>
    <xf numFmtId="0" fontId="48" fillId="41" borderId="0" xfId="0" applyFont="1" applyFill="1" applyAlignment="1">
      <alignment horizontal="right"/>
    </xf>
    <xf numFmtId="0" fontId="49" fillId="41" borderId="30" xfId="0" applyFont="1" applyFill="1" applyBorder="1" applyAlignment="1">
      <alignment horizontal="left" vertical="top"/>
    </xf>
    <xf numFmtId="0" fontId="48" fillId="0" borderId="0" xfId="0" applyFont="1" applyAlignment="1">
      <alignment horizontal="center"/>
    </xf>
    <xf numFmtId="183" fontId="49" fillId="41" borderId="0" xfId="0" applyNumberFormat="1" applyFont="1" applyFill="1" applyAlignment="1">
      <alignment horizontal="center" vertical="top"/>
    </xf>
    <xf numFmtId="0" fontId="61" fillId="41" borderId="30" xfId="0" applyFont="1" applyFill="1" applyBorder="1" applyAlignment="1">
      <alignment horizontal="left" vertical="top"/>
    </xf>
    <xf numFmtId="0" fontId="61" fillId="41" borderId="0" xfId="0" applyFont="1" applyFill="1" applyAlignment="1">
      <alignment horizontal="center" vertical="top"/>
    </xf>
    <xf numFmtId="10" fontId="61" fillId="41" borderId="0" xfId="0" applyNumberFormat="1" applyFont="1" applyFill="1" applyAlignment="1">
      <alignment horizontal="center" vertical="top"/>
    </xf>
    <xf numFmtId="0" fontId="48" fillId="41" borderId="0" xfId="0" applyFont="1" applyFill="1" applyAlignment="1">
      <alignment horizontal="center"/>
    </xf>
    <xf numFmtId="0" fontId="48" fillId="41" borderId="30" xfId="0" applyFont="1" applyFill="1" applyBorder="1" applyAlignment="1">
      <alignment horizontal="left" vertical="top"/>
    </xf>
    <xf numFmtId="0" fontId="48" fillId="41" borderId="0" xfId="0" applyFont="1" applyFill="1" applyAlignment="1">
      <alignment horizontal="center" vertical="top"/>
    </xf>
    <xf numFmtId="3" fontId="48" fillId="41" borderId="0" xfId="0" applyNumberFormat="1" applyFont="1" applyFill="1" applyAlignment="1">
      <alignment horizontal="center" vertical="top"/>
    </xf>
    <xf numFmtId="169" fontId="48" fillId="41" borderId="0" xfId="0" applyNumberFormat="1" applyFont="1" applyFill="1" applyAlignment="1">
      <alignment horizontal="center" vertical="top"/>
    </xf>
    <xf numFmtId="169" fontId="48" fillId="0" borderId="0" xfId="0" applyNumberFormat="1" applyFont="1" applyAlignment="1">
      <alignment horizontal="center"/>
    </xf>
    <xf numFmtId="183" fontId="48" fillId="41" borderId="0" xfId="0" applyNumberFormat="1" applyFont="1" applyFill="1" applyAlignment="1">
      <alignment horizontal="center" vertical="top"/>
    </xf>
    <xf numFmtId="9" fontId="61" fillId="41" borderId="0" xfId="0" applyNumberFormat="1" applyFont="1" applyFill="1" applyAlignment="1">
      <alignment horizontal="center" vertical="top"/>
    </xf>
    <xf numFmtId="171" fontId="61" fillId="41" borderId="0" xfId="0" applyNumberFormat="1" applyFont="1" applyFill="1" applyAlignment="1">
      <alignment horizontal="center" vertical="top"/>
    </xf>
    <xf numFmtId="0" fontId="48" fillId="0" borderId="30" xfId="0" applyFont="1" applyBorder="1"/>
    <xf numFmtId="0" fontId="49" fillId="41" borderId="35" xfId="0" applyFont="1" applyFill="1" applyBorder="1" applyAlignment="1">
      <alignment horizontal="left" vertical="top"/>
    </xf>
    <xf numFmtId="183" fontId="49" fillId="41" borderId="36" xfId="0" applyNumberFormat="1" applyFont="1" applyFill="1" applyBorder="1" applyAlignment="1">
      <alignment horizontal="center" vertical="top"/>
    </xf>
    <xf numFmtId="0" fontId="61" fillId="41" borderId="39" xfId="0" applyFont="1" applyFill="1" applyBorder="1" applyAlignment="1">
      <alignment horizontal="left" vertical="top"/>
    </xf>
    <xf numFmtId="0" fontId="61" fillId="41" borderId="38" xfId="0" applyFont="1" applyFill="1" applyBorder="1" applyAlignment="1">
      <alignment horizontal="center" vertical="top"/>
    </xf>
    <xf numFmtId="9" fontId="61" fillId="41" borderId="38" xfId="0" applyNumberFormat="1" applyFont="1" applyFill="1" applyBorder="1" applyAlignment="1">
      <alignment horizontal="center" vertical="top"/>
    </xf>
    <xf numFmtId="0" fontId="48" fillId="36" borderId="0" xfId="64" applyFont="1"/>
    <xf numFmtId="0" fontId="48" fillId="36" borderId="32" xfId="64" applyFont="1" applyBorder="1"/>
    <xf numFmtId="0" fontId="48" fillId="36" borderId="21" xfId="64" applyFont="1" applyBorder="1" applyAlignment="1">
      <alignment horizontal="center"/>
    </xf>
    <xf numFmtId="0" fontId="48" fillId="0" borderId="21" xfId="0" applyFont="1" applyBorder="1" applyAlignment="1">
      <alignment horizontal="center"/>
    </xf>
    <xf numFmtId="0" fontId="0" fillId="36" borderId="21" xfId="64" applyFont="1" applyBorder="1" applyAlignment="1">
      <alignment horizontal="center"/>
    </xf>
    <xf numFmtId="0" fontId="0" fillId="36" borderId="0" xfId="64" applyFont="1" applyAlignment="1">
      <alignment horizontal="right"/>
    </xf>
    <xf numFmtId="0" fontId="49" fillId="0" borderId="0" xfId="0" applyFont="1"/>
    <xf numFmtId="0" fontId="61" fillId="36" borderId="0" xfId="64" applyFont="1" applyAlignment="1">
      <alignment horizontal="right" vertical="top"/>
    </xf>
    <xf numFmtId="0" fontId="0" fillId="0" borderId="0" xfId="0" applyAlignment="1">
      <alignment horizontal="right"/>
    </xf>
    <xf numFmtId="0" fontId="38" fillId="36" borderId="0" xfId="64" applyFont="1" applyAlignment="1">
      <alignment horizontal="center"/>
    </xf>
    <xf numFmtId="9" fontId="38" fillId="36" borderId="0" xfId="64" applyNumberFormat="1" applyFont="1" applyAlignment="1">
      <alignment horizontal="center"/>
    </xf>
    <xf numFmtId="171" fontId="38" fillId="36" borderId="0" xfId="64" applyNumberFormat="1" applyFont="1" applyAlignment="1">
      <alignment horizontal="center"/>
    </xf>
    <xf numFmtId="0" fontId="48" fillId="36" borderId="0" xfId="64" applyFont="1" applyAlignment="1">
      <alignment horizontal="center"/>
    </xf>
    <xf numFmtId="0" fontId="39" fillId="41" borderId="0" xfId="0" applyFont="1" applyFill="1" applyAlignment="1">
      <alignment horizontal="left"/>
    </xf>
    <xf numFmtId="17" fontId="48" fillId="42" borderId="19" xfId="0" applyNumberFormat="1" applyFont="1" applyFill="1" applyBorder="1" applyAlignment="1">
      <alignment horizontal="center" vertical="top"/>
    </xf>
    <xf numFmtId="17" fontId="48" fillId="37" borderId="38" xfId="0" applyNumberFormat="1" applyFont="1" applyFill="1" applyBorder="1" applyAlignment="1">
      <alignment horizontal="center"/>
    </xf>
    <xf numFmtId="17" fontId="48" fillId="42" borderId="38" xfId="0" applyNumberFormat="1" applyFont="1" applyFill="1" applyBorder="1" applyAlignment="1">
      <alignment horizontal="center" vertical="top"/>
    </xf>
    <xf numFmtId="17" fontId="48" fillId="42" borderId="40" xfId="0" applyNumberFormat="1" applyFont="1" applyFill="1" applyBorder="1" applyAlignment="1">
      <alignment horizontal="center" vertical="top"/>
    </xf>
    <xf numFmtId="0" fontId="48" fillId="42" borderId="11" xfId="0" applyFont="1" applyFill="1" applyBorder="1" applyAlignment="1">
      <alignment horizontal="right"/>
    </xf>
    <xf numFmtId="0" fontId="48" fillId="42" borderId="0" xfId="0" applyFont="1" applyFill="1" applyAlignment="1">
      <alignment horizontal="right"/>
    </xf>
    <xf numFmtId="0" fontId="48" fillId="42" borderId="31" xfId="0" applyFont="1" applyFill="1" applyBorder="1" applyAlignment="1">
      <alignment horizontal="right"/>
    </xf>
    <xf numFmtId="183" fontId="49" fillId="42" borderId="11" xfId="0" applyNumberFormat="1" applyFont="1" applyFill="1" applyBorder="1" applyAlignment="1">
      <alignment horizontal="center" vertical="top"/>
    </xf>
    <xf numFmtId="183" fontId="49" fillId="42" borderId="0" xfId="0" applyNumberFormat="1" applyFont="1" applyFill="1" applyAlignment="1">
      <alignment horizontal="center" vertical="top"/>
    </xf>
    <xf numFmtId="183" fontId="49" fillId="42" borderId="31" xfId="0" applyNumberFormat="1" applyFont="1" applyFill="1" applyBorder="1" applyAlignment="1">
      <alignment horizontal="center" vertical="top"/>
    </xf>
    <xf numFmtId="9" fontId="61" fillId="43" borderId="11" xfId="0" applyNumberFormat="1" applyFont="1" applyFill="1" applyBorder="1" applyAlignment="1">
      <alignment horizontal="center" vertical="top"/>
    </xf>
    <xf numFmtId="9" fontId="61" fillId="43" borderId="0" xfId="0" applyNumberFormat="1" applyFont="1" applyFill="1" applyAlignment="1">
      <alignment horizontal="center" vertical="top"/>
    </xf>
    <xf numFmtId="9" fontId="61" fillId="43" borderId="31" xfId="0" applyNumberFormat="1" applyFont="1" applyFill="1" applyBorder="1" applyAlignment="1">
      <alignment horizontal="center" vertical="top"/>
    </xf>
    <xf numFmtId="0" fontId="48" fillId="37" borderId="11" xfId="0" applyFont="1" applyFill="1" applyBorder="1" applyAlignment="1">
      <alignment horizontal="center"/>
    </xf>
    <xf numFmtId="0" fontId="48" fillId="37" borderId="0" xfId="0" applyFont="1" applyFill="1" applyAlignment="1">
      <alignment horizontal="center"/>
    </xf>
    <xf numFmtId="0" fontId="48" fillId="37" borderId="31" xfId="0" applyFont="1" applyFill="1" applyBorder="1" applyAlignment="1">
      <alignment horizontal="center"/>
    </xf>
    <xf numFmtId="3" fontId="48" fillId="42" borderId="11" xfId="0" applyNumberFormat="1" applyFont="1" applyFill="1" applyBorder="1" applyAlignment="1">
      <alignment horizontal="center" vertical="top"/>
    </xf>
    <xf numFmtId="3" fontId="48" fillId="42" borderId="0" xfId="0" applyNumberFormat="1" applyFont="1" applyFill="1" applyAlignment="1">
      <alignment horizontal="center" vertical="top"/>
    </xf>
    <xf numFmtId="3" fontId="48" fillId="42" borderId="31" xfId="0" applyNumberFormat="1" applyFont="1" applyFill="1" applyBorder="1" applyAlignment="1">
      <alignment horizontal="center" vertical="top"/>
    </xf>
    <xf numFmtId="183" fontId="48" fillId="42" borderId="11" xfId="0" applyNumberFormat="1" applyFont="1" applyFill="1" applyBorder="1" applyAlignment="1">
      <alignment horizontal="center" vertical="top"/>
    </xf>
    <xf numFmtId="183" fontId="48" fillId="42" borderId="0" xfId="0" applyNumberFormat="1" applyFont="1" applyFill="1" applyAlignment="1">
      <alignment horizontal="center" vertical="top"/>
    </xf>
    <xf numFmtId="183" fontId="48" fillId="42" borderId="31" xfId="0" applyNumberFormat="1" applyFont="1" applyFill="1" applyBorder="1" applyAlignment="1">
      <alignment horizontal="center" vertical="top"/>
    </xf>
    <xf numFmtId="171" fontId="61" fillId="43" borderId="11" xfId="0" applyNumberFormat="1" applyFont="1" applyFill="1" applyBorder="1" applyAlignment="1">
      <alignment horizontal="center" vertical="top"/>
    </xf>
    <xf numFmtId="171" fontId="61" fillId="43" borderId="0" xfId="0" applyNumberFormat="1" applyFont="1" applyFill="1" applyAlignment="1">
      <alignment horizontal="center" vertical="top"/>
    </xf>
    <xf numFmtId="171" fontId="61" fillId="43" borderId="31" xfId="0" applyNumberFormat="1" applyFont="1" applyFill="1" applyBorder="1" applyAlignment="1">
      <alignment horizontal="center" vertical="top"/>
    </xf>
    <xf numFmtId="183" fontId="49" fillId="42" borderId="42" xfId="0" applyNumberFormat="1" applyFont="1" applyFill="1" applyBorder="1" applyAlignment="1">
      <alignment horizontal="center" vertical="top"/>
    </xf>
    <xf numFmtId="183" fontId="49" fillId="42" borderId="36" xfId="0" applyNumberFormat="1" applyFont="1" applyFill="1" applyBorder="1" applyAlignment="1">
      <alignment horizontal="center" vertical="top"/>
    </xf>
    <xf numFmtId="183" fontId="49" fillId="42" borderId="37" xfId="0" applyNumberFormat="1" applyFont="1" applyFill="1" applyBorder="1" applyAlignment="1">
      <alignment horizontal="center" vertical="top"/>
    </xf>
    <xf numFmtId="171" fontId="61" fillId="42" borderId="19" xfId="0" applyNumberFormat="1" applyFont="1" applyFill="1" applyBorder="1" applyAlignment="1">
      <alignment horizontal="center" vertical="top"/>
    </xf>
    <xf numFmtId="171" fontId="61" fillId="42" borderId="38" xfId="0" applyNumberFormat="1" applyFont="1" applyFill="1" applyBorder="1" applyAlignment="1">
      <alignment horizontal="center" vertical="top"/>
    </xf>
    <xf numFmtId="171" fontId="61" fillId="42" borderId="40" xfId="0" applyNumberFormat="1" applyFont="1" applyFill="1" applyBorder="1" applyAlignment="1">
      <alignment horizontal="center" vertical="top"/>
    </xf>
    <xf numFmtId="0" fontId="48" fillId="37" borderId="43" xfId="64" applyFont="1" applyFill="1" applyBorder="1" applyAlignment="1">
      <alignment horizontal="center"/>
    </xf>
    <xf numFmtId="0" fontId="0" fillId="37" borderId="21" xfId="64" applyFont="1" applyFill="1" applyBorder="1" applyAlignment="1">
      <alignment horizontal="center"/>
    </xf>
    <xf numFmtId="0" fontId="0" fillId="37" borderId="33" xfId="64" applyFont="1" applyFill="1" applyBorder="1" applyAlignment="1">
      <alignment horizontal="center"/>
    </xf>
    <xf numFmtId="184" fontId="48" fillId="41" borderId="0" xfId="0" applyNumberFormat="1" applyFont="1" applyFill="1" applyAlignment="1">
      <alignment horizontal="center" vertical="top"/>
    </xf>
    <xf numFmtId="169" fontId="48" fillId="37" borderId="11" xfId="0" applyNumberFormat="1" applyFont="1" applyFill="1" applyBorder="1" applyAlignment="1">
      <alignment horizontal="center"/>
    </xf>
    <xf numFmtId="169" fontId="48" fillId="37" borderId="0" xfId="0" applyNumberFormat="1" applyFont="1" applyFill="1" applyAlignment="1">
      <alignment horizontal="center"/>
    </xf>
    <xf numFmtId="169" fontId="48" fillId="37" borderId="31" xfId="0" applyNumberFormat="1" applyFont="1" applyFill="1" applyBorder="1" applyAlignment="1">
      <alignment horizontal="center"/>
    </xf>
    <xf numFmtId="0" fontId="58" fillId="6" borderId="5" xfId="8" applyFont="1" applyAlignment="1">
      <alignment horizontal="center"/>
    </xf>
    <xf numFmtId="3" fontId="0" fillId="0" borderId="10" xfId="0" applyNumberFormat="1" applyBorder="1"/>
    <xf numFmtId="185" fontId="61" fillId="41" borderId="0" xfId="0" applyNumberFormat="1" applyFont="1" applyFill="1" applyAlignment="1">
      <alignment horizontal="center" vertical="top"/>
    </xf>
    <xf numFmtId="185" fontId="61" fillId="43" borderId="11" xfId="0" applyNumberFormat="1" applyFont="1" applyFill="1" applyBorder="1" applyAlignment="1">
      <alignment horizontal="center" vertical="top"/>
    </xf>
    <xf numFmtId="185" fontId="61" fillId="43" borderId="0" xfId="0" applyNumberFormat="1" applyFont="1" applyFill="1" applyAlignment="1">
      <alignment horizontal="center" vertical="top"/>
    </xf>
    <xf numFmtId="185" fontId="61" fillId="43" borderId="31" xfId="0" applyNumberFormat="1" applyFont="1" applyFill="1" applyBorder="1" applyAlignment="1">
      <alignment horizontal="center" vertical="top"/>
    </xf>
    <xf numFmtId="186" fontId="38" fillId="36" borderId="0" xfId="64" applyNumberFormat="1" applyFont="1" applyAlignment="1">
      <alignment horizontal="center"/>
    </xf>
    <xf numFmtId="3" fontId="49" fillId="41" borderId="0" xfId="0" applyNumberFormat="1" applyFont="1" applyFill="1" applyAlignment="1">
      <alignment horizontal="center" vertical="top"/>
    </xf>
    <xf numFmtId="3" fontId="48" fillId="0" borderId="0" xfId="0" applyNumberFormat="1" applyFont="1" applyAlignment="1">
      <alignment horizontal="center"/>
    </xf>
    <xf numFmtId="0" fontId="29" fillId="0" borderId="14" xfId="0" applyFont="1" applyBorder="1" applyAlignment="1">
      <alignment horizontal="left"/>
    </xf>
    <xf numFmtId="0" fontId="29" fillId="0" borderId="15" xfId="0" applyFont="1" applyBorder="1"/>
    <xf numFmtId="0" fontId="37" fillId="0" borderId="10" xfId="0" applyFont="1" applyBorder="1" applyAlignment="1">
      <alignment horizontal="left"/>
    </xf>
    <xf numFmtId="3" fontId="14" fillId="0" borderId="10" xfId="0" applyNumberFormat="1" applyFont="1" applyBorder="1"/>
    <xf numFmtId="0" fontId="64" fillId="0" borderId="0" xfId="0" applyFont="1"/>
    <xf numFmtId="0" fontId="63" fillId="0" borderId="0" xfId="0" applyFont="1"/>
    <xf numFmtId="9" fontId="65" fillId="0" borderId="0" xfId="62" applyFont="1" applyBorder="1" applyAlignment="1">
      <alignment horizontal="center"/>
    </xf>
    <xf numFmtId="0" fontId="63" fillId="0" borderId="10" xfId="0" applyFont="1" applyBorder="1"/>
    <xf numFmtId="10" fontId="63" fillId="0" borderId="10" xfId="0" applyNumberFormat="1" applyFont="1" applyBorder="1" applyAlignment="1">
      <alignment horizontal="center"/>
    </xf>
    <xf numFmtId="10" fontId="64" fillId="0" borderId="0" xfId="0" applyNumberFormat="1" applyFont="1"/>
    <xf numFmtId="0" fontId="66" fillId="0" borderId="10" xfId="0" applyFont="1" applyBorder="1"/>
    <xf numFmtId="9" fontId="66" fillId="0" borderId="10" xfId="0" applyNumberFormat="1" applyFont="1" applyBorder="1" applyAlignment="1">
      <alignment horizontal="center"/>
    </xf>
    <xf numFmtId="2" fontId="66" fillId="0" borderId="10" xfId="0" applyNumberFormat="1" applyFont="1" applyBorder="1" applyAlignment="1">
      <alignment horizontal="center"/>
    </xf>
    <xf numFmtId="10" fontId="66" fillId="0" borderId="10" xfId="0" applyNumberFormat="1" applyFont="1" applyBorder="1" applyAlignment="1">
      <alignment horizontal="center"/>
    </xf>
    <xf numFmtId="9" fontId="64" fillId="0" borderId="0" xfId="0" applyNumberFormat="1" applyFont="1"/>
    <xf numFmtId="14" fontId="64" fillId="0" borderId="0" xfId="62" applyNumberFormat="1" applyFont="1" applyBorder="1" applyAlignment="1">
      <alignment horizontal="center"/>
    </xf>
    <xf numFmtId="10" fontId="63" fillId="0" borderId="10" xfId="62" applyNumberFormat="1" applyFont="1" applyBorder="1" applyAlignment="1">
      <alignment horizontal="center"/>
    </xf>
    <xf numFmtId="0" fontId="66" fillId="0" borderId="10" xfId="0" applyFont="1" applyBorder="1" applyAlignment="1">
      <alignment horizontal="left" vertical="center"/>
    </xf>
    <xf numFmtId="14" fontId="64" fillId="0" borderId="10" xfId="62" applyNumberFormat="1" applyFont="1" applyBorder="1" applyAlignment="1">
      <alignment horizontal="left"/>
    </xf>
    <xf numFmtId="10" fontId="64" fillId="0" borderId="10" xfId="62" applyNumberFormat="1" applyFont="1" applyBorder="1" applyAlignment="1">
      <alignment horizontal="left"/>
    </xf>
    <xf numFmtId="0" fontId="66" fillId="0" borderId="0" xfId="0" applyFont="1"/>
    <xf numFmtId="2" fontId="64" fillId="0" borderId="0" xfId="0" applyNumberFormat="1" applyFont="1"/>
    <xf numFmtId="0" fontId="64" fillId="0" borderId="10" xfId="0" applyFont="1" applyBorder="1"/>
    <xf numFmtId="3" fontId="64" fillId="0" borderId="10" xfId="0" applyNumberFormat="1" applyFont="1" applyBorder="1"/>
    <xf numFmtId="9" fontId="64" fillId="0" borderId="10" xfId="62" applyFont="1" applyBorder="1"/>
    <xf numFmtId="4" fontId="64" fillId="0" borderId="10" xfId="0" applyNumberFormat="1" applyFont="1" applyBorder="1"/>
    <xf numFmtId="169" fontId="64" fillId="0" borderId="10" xfId="0" applyNumberFormat="1" applyFont="1" applyBorder="1"/>
    <xf numFmtId="2" fontId="64" fillId="0" borderId="10" xfId="0" applyNumberFormat="1" applyFont="1" applyBorder="1"/>
    <xf numFmtId="175" fontId="64" fillId="0" borderId="10" xfId="0" applyNumberFormat="1" applyFont="1" applyBorder="1"/>
    <xf numFmtId="0" fontId="63" fillId="0" borderId="10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9" fontId="64" fillId="0" borderId="10" xfId="0" applyNumberFormat="1" applyFont="1" applyBorder="1" applyAlignment="1">
      <alignment horizontal="center"/>
    </xf>
    <xf numFmtId="0" fontId="64" fillId="0" borderId="10" xfId="0" applyFont="1" applyBorder="1" applyAlignment="1">
      <alignment horizontal="center"/>
    </xf>
    <xf numFmtId="4" fontId="64" fillId="0" borderId="0" xfId="0" applyNumberFormat="1" applyFont="1"/>
    <xf numFmtId="170" fontId="67" fillId="0" borderId="10" xfId="62" applyNumberFormat="1" applyFont="1" applyBorder="1"/>
    <xf numFmtId="3" fontId="64" fillId="0" borderId="0" xfId="0" applyNumberFormat="1" applyFont="1"/>
    <xf numFmtId="9" fontId="64" fillId="0" borderId="0" xfId="62" applyFont="1" applyBorder="1"/>
    <xf numFmtId="169" fontId="64" fillId="0" borderId="0" xfId="0" applyNumberFormat="1" applyFont="1"/>
    <xf numFmtId="175" fontId="64" fillId="0" borderId="0" xfId="0" applyNumberFormat="1" applyFont="1"/>
    <xf numFmtId="0" fontId="66" fillId="0" borderId="10" xfId="0" applyFont="1" applyBorder="1" applyAlignment="1">
      <alignment horizontal="center"/>
    </xf>
    <xf numFmtId="9" fontId="62" fillId="33" borderId="10" xfId="62" applyFont="1" applyFill="1" applyBorder="1" applyAlignment="1">
      <alignment horizontal="center"/>
    </xf>
    <xf numFmtId="9" fontId="62" fillId="33" borderId="44" xfId="62" applyFont="1" applyFill="1" applyBorder="1" applyAlignment="1">
      <alignment horizontal="center"/>
    </xf>
    <xf numFmtId="9" fontId="62" fillId="33" borderId="18" xfId="62" applyFont="1" applyFill="1" applyBorder="1" applyAlignment="1">
      <alignment horizontal="center"/>
    </xf>
    <xf numFmtId="9" fontId="62" fillId="33" borderId="0" xfId="62" applyFont="1" applyFill="1" applyBorder="1" applyAlignment="1">
      <alignment horizontal="center"/>
    </xf>
    <xf numFmtId="9" fontId="68" fillId="33" borderId="10" xfId="62" applyFont="1" applyFill="1" applyBorder="1" applyAlignment="1">
      <alignment horizontal="center"/>
    </xf>
    <xf numFmtId="10" fontId="66" fillId="0" borderId="0" xfId="0" applyNumberFormat="1" applyFont="1"/>
    <xf numFmtId="0" fontId="63" fillId="0" borderId="10" xfId="0" applyFont="1" applyBorder="1" applyAlignment="1">
      <alignment vertical="center" wrapText="1"/>
    </xf>
    <xf numFmtId="0" fontId="66" fillId="0" borderId="10" xfId="0" applyFont="1" applyBorder="1" applyAlignment="1">
      <alignment vertical="center" wrapText="1"/>
    </xf>
    <xf numFmtId="0" fontId="69" fillId="0" borderId="0" xfId="0" applyFont="1"/>
    <xf numFmtId="0" fontId="63" fillId="0" borderId="21" xfId="0" applyFont="1" applyBorder="1" applyAlignment="1">
      <alignment vertical="center" wrapText="1"/>
    </xf>
    <xf numFmtId="0" fontId="63" fillId="0" borderId="0" xfId="0" applyFont="1" applyAlignment="1">
      <alignment vertical="center" wrapText="1"/>
    </xf>
    <xf numFmtId="0" fontId="69" fillId="0" borderId="10" xfId="0" applyFont="1" applyBorder="1"/>
    <xf numFmtId="0" fontId="70" fillId="0" borderId="10" xfId="0" applyFont="1" applyBorder="1"/>
    <xf numFmtId="9" fontId="66" fillId="0" borderId="0" xfId="0" applyNumberFormat="1" applyFont="1"/>
    <xf numFmtId="0" fontId="71" fillId="0" borderId="0" xfId="0" applyFont="1"/>
    <xf numFmtId="9" fontId="72" fillId="0" borderId="0" xfId="62" applyFont="1" applyFill="1" applyBorder="1" applyAlignment="1">
      <alignment horizontal="center"/>
    </xf>
    <xf numFmtId="0" fontId="73" fillId="0" borderId="0" xfId="65" applyFont="1"/>
    <xf numFmtId="10" fontId="71" fillId="0" borderId="0" xfId="0" applyNumberFormat="1" applyFont="1" applyAlignment="1">
      <alignment horizontal="center"/>
    </xf>
    <xf numFmtId="14" fontId="71" fillId="0" borderId="0" xfId="62" applyNumberFormat="1" applyFont="1" applyFill="1" applyBorder="1" applyAlignment="1">
      <alignment horizontal="center"/>
    </xf>
    <xf numFmtId="10" fontId="71" fillId="0" borderId="0" xfId="62" applyNumberFormat="1" applyFont="1" applyFill="1" applyBorder="1"/>
    <xf numFmtId="14" fontId="71" fillId="0" borderId="0" xfId="62" applyNumberFormat="1" applyFont="1" applyBorder="1" applyAlignment="1">
      <alignment horizontal="center"/>
    </xf>
    <xf numFmtId="0" fontId="74" fillId="0" borderId="10" xfId="0" applyFont="1" applyBorder="1"/>
    <xf numFmtId="171" fontId="64" fillId="0" borderId="0" xfId="0" applyNumberFormat="1" applyFont="1" applyAlignment="1">
      <alignment horizontal="center"/>
    </xf>
    <xf numFmtId="171" fontId="65" fillId="0" borderId="0" xfId="0" applyNumberFormat="1" applyFont="1" applyAlignment="1">
      <alignment horizontal="center"/>
    </xf>
    <xf numFmtId="9" fontId="64" fillId="0" borderId="0" xfId="0" applyNumberFormat="1" applyFont="1" applyAlignment="1">
      <alignment horizontal="center"/>
    </xf>
    <xf numFmtId="9" fontId="65" fillId="0" borderId="0" xfId="0" applyNumberFormat="1" applyFont="1" applyAlignment="1">
      <alignment horizontal="center"/>
    </xf>
    <xf numFmtId="0" fontId="28" fillId="33" borderId="10" xfId="51" applyFont="1" applyBorder="1" applyAlignment="1">
      <alignment horizontal="center" vertical="center" readingOrder="1"/>
    </xf>
    <xf numFmtId="0" fontId="30" fillId="0" borderId="0" xfId="42" applyFont="1" applyFill="1" applyBorder="1">
      <alignment horizontal="center"/>
    </xf>
    <xf numFmtId="0" fontId="30" fillId="0" borderId="0" xfId="48" applyFont="1" applyFill="1" applyBorder="1" applyAlignment="1">
      <alignment horizontal="center"/>
    </xf>
    <xf numFmtId="0" fontId="39" fillId="0" borderId="10" xfId="0" applyFont="1" applyBorder="1" applyAlignment="1">
      <alignment horizontal="center" wrapText="1"/>
    </xf>
    <xf numFmtId="9" fontId="29" fillId="0" borderId="10" xfId="62" applyFont="1" applyBorder="1" applyAlignment="1">
      <alignment horizontal="center"/>
    </xf>
    <xf numFmtId="0" fontId="39" fillId="0" borderId="10" xfId="0" applyFont="1" applyBorder="1" applyAlignment="1">
      <alignment horizontal="center" vertical="center" wrapText="1"/>
    </xf>
    <xf numFmtId="0" fontId="39" fillId="42" borderId="41" xfId="0" applyFont="1" applyFill="1" applyBorder="1" applyAlignment="1">
      <alignment horizontal="center" vertical="top"/>
    </xf>
    <xf numFmtId="0" fontId="38" fillId="37" borderId="34" xfId="0" applyFont="1" applyFill="1" applyBorder="1"/>
    <xf numFmtId="0" fontId="38" fillId="37" borderId="29" xfId="0" applyFont="1" applyFill="1" applyBorder="1"/>
    <xf numFmtId="0" fontId="65" fillId="0" borderId="0" xfId="0" applyFont="1" applyAlignment="1">
      <alignment horizontal="center" vertical="center" textRotation="90"/>
    </xf>
    <xf numFmtId="0" fontId="65" fillId="0" borderId="0" xfId="0" applyFont="1" applyAlignment="1">
      <alignment horizontal="center"/>
    </xf>
    <xf numFmtId="0" fontId="66" fillId="0" borderId="10" xfId="0" applyFont="1" applyBorder="1" applyAlignment="1">
      <alignment horizontal="center"/>
    </xf>
    <xf numFmtId="0" fontId="63" fillId="0" borderId="10" xfId="0" applyFont="1" applyBorder="1" applyAlignment="1">
      <alignment horizontal="center"/>
    </xf>
    <xf numFmtId="0" fontId="66" fillId="0" borderId="10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/>
    </xf>
    <xf numFmtId="0" fontId="66" fillId="0" borderId="16" xfId="0" applyFont="1" applyBorder="1" applyAlignment="1">
      <alignment horizontal="center"/>
    </xf>
    <xf numFmtId="0" fontId="66" fillId="0" borderId="44" xfId="0" applyFont="1" applyBorder="1" applyAlignment="1">
      <alignment horizontal="center"/>
    </xf>
    <xf numFmtId="0" fontId="52" fillId="38" borderId="23" xfId="0" applyFont="1" applyFill="1" applyBorder="1" applyAlignment="1">
      <alignment horizontal="center"/>
    </xf>
    <xf numFmtId="0" fontId="46" fillId="0" borderId="23" xfId="0" applyFont="1" applyBorder="1"/>
    <xf numFmtId="0" fontId="29" fillId="0" borderId="18" xfId="0" applyFont="1" applyBorder="1" applyAlignment="1">
      <alignment horizontal="left"/>
    </xf>
    <xf numFmtId="167" fontId="31" fillId="0" borderId="44" xfId="54" applyNumberFormat="1" applyFont="1" applyFill="1" applyBorder="1">
      <alignment horizontal="right"/>
    </xf>
    <xf numFmtId="167" fontId="33" fillId="0" borderId="44" xfId="55" applyNumberFormat="1" applyFont="1" applyFill="1" applyBorder="1">
      <alignment horizontal="right"/>
    </xf>
    <xf numFmtId="0" fontId="34" fillId="0" borderId="14" xfId="48" applyFont="1" applyFill="1" applyBorder="1"/>
    <xf numFmtId="0" fontId="30" fillId="0" borderId="0" xfId="48" applyFont="1" applyFill="1" applyBorder="1"/>
    <xf numFmtId="0" fontId="34" fillId="0" borderId="0" xfId="48" applyFont="1" applyFill="1" applyBorder="1"/>
  </cellXfs>
  <cellStyles count="66">
    <cellStyle name="20% - Accent1" xfId="17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8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 2" xfId="34" xr:uid="{23020AB6-2F2E-4016-8274-A6966517BFB3}"/>
    <cellStyle name="60% - Accent2 2" xfId="35" xr:uid="{51390408-54C8-498C-8766-E86C8F3C7437}"/>
    <cellStyle name="60% - Accent3 2" xfId="36" xr:uid="{8B754033-6DDC-438A-A638-8ED438551029}"/>
    <cellStyle name="60% - Accent4 2" xfId="37" xr:uid="{61ACC96E-742E-4A6B-BE83-6AC545FD21FF}"/>
    <cellStyle name="60% - Accent5 2" xfId="38" xr:uid="{6FF9EFB0-2615-4F52-8812-6624CA61FBC9}"/>
    <cellStyle name="60% - Accent6 2" xfId="39" xr:uid="{DF98832D-C0F4-4542-A677-D202D127F092}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6" builtinId="27" customBuiltin="1"/>
    <cellStyle name="blp_column_header" xfId="40" xr:uid="{80153182-B3EE-49BB-A209-CC16EFF6972B}"/>
    <cellStyle name="blp_title_header_row_left" xfId="51" xr:uid="{08EB3091-7E21-4DA8-A747-CDF0C23FF7BA}"/>
    <cellStyle name="Calculation" xfId="9" builtinId="22" customBuiltin="1"/>
    <cellStyle name="Check Cell" xfId="11" builtinId="23" customBuiltin="1"/>
    <cellStyle name="Comma" xfId="61" builtinId="3"/>
    <cellStyle name="Explanatory Text" xfId="14" builtinId="53" customBuiltin="1"/>
    <cellStyle name="fa_column_header_bottom" xfId="41" xr:uid="{DBD278E3-E7D0-420E-846D-89AF9BBF3B28}"/>
    <cellStyle name="fa_column_header_bottom_left" xfId="52" xr:uid="{14219F42-E4BE-4E2A-8808-6F86279A1A34}"/>
    <cellStyle name="fa_column_header_empty" xfId="42" xr:uid="{7D2EE6F5-01CF-4DFC-A5A4-75A38EA21C1E}"/>
    <cellStyle name="fa_column_header_top" xfId="43" xr:uid="{E84E0379-DCEA-40EF-9FAE-7E2B3822CF14}"/>
    <cellStyle name="fa_column_header_top_left" xfId="44" xr:uid="{162BB3C3-0786-492D-9D67-73266A9B6936}"/>
    <cellStyle name="fa_data_bold_0_grouped" xfId="56" xr:uid="{B42DE8E5-22A1-4061-803A-7AF51ABBB756}"/>
    <cellStyle name="fa_data_bold_1_grouped" xfId="57" xr:uid="{589EF6B3-2DF6-4301-A328-CA081A2753DC}"/>
    <cellStyle name="fa_data_bold_2_grouped" xfId="58" xr:uid="{076E3AC0-D570-4956-B639-3C8D6F2D1470}"/>
    <cellStyle name="fa_data_italic_1_grouped" xfId="59" xr:uid="{EF7CFDA3-F7B1-4A7C-8A39-F51F0BDD1A70}"/>
    <cellStyle name="fa_data_standard_0_grouped" xfId="53" xr:uid="{10F9BF5E-4E0B-42E2-85EE-3CCCA89B33AB}"/>
    <cellStyle name="fa_data_standard_1_grouped" xfId="54" xr:uid="{244D6ECF-29E3-443D-B42F-2985B363FD97}"/>
    <cellStyle name="fa_data_standard_2_grouped" xfId="55" xr:uid="{EB9C7900-F210-4669-84C5-EB8F42081A11}"/>
    <cellStyle name="fa_footer_italic" xfId="45" xr:uid="{0787EA1B-4283-433A-990A-37B6E022F214}"/>
    <cellStyle name="fa_row_header_bold" xfId="46" xr:uid="{6D119247-44A7-41E7-819C-AB13898B43C9}"/>
    <cellStyle name="fa_row_header_italic" xfId="47" xr:uid="{BBBFE4F1-D008-46E9-A2CD-02FD833EE764}"/>
    <cellStyle name="fa_row_header_standard" xfId="48" xr:uid="{F6E986AB-0F7A-41E7-8F06-465D4A51AC67}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Hyperlink" xfId="65" builtinId="8"/>
    <cellStyle name="Input" xfId="7" builtinId="20" customBuiltin="1"/>
    <cellStyle name="Linked Cell" xfId="10" builtinId="24" customBuiltin="1"/>
    <cellStyle name="Neutral" xfId="63" builtinId="28"/>
    <cellStyle name="Neutral 2" xfId="49" xr:uid="{1339F5AF-D68F-44B8-BB28-28FD9C5F4EC1}"/>
    <cellStyle name="Normal" xfId="0" builtinId="0"/>
    <cellStyle name="Normal 2" xfId="60" xr:uid="{18A36D3A-F4C8-4AE6-BF0C-3EDE89CD0B90}"/>
    <cellStyle name="Note" xfId="13" builtinId="10" customBuiltin="1"/>
    <cellStyle name="Output" xfId="8" builtinId="21" customBuiltin="1"/>
    <cellStyle name="Percent" xfId="62" builtinId="5"/>
    <cellStyle name="Style 1" xfId="64" xr:uid="{2DC7480C-404C-4F70-93DA-A5A44549FBFD}"/>
    <cellStyle name="Title 2" xfId="50" xr:uid="{77CE9FE9-93AC-4B52-B7BB-E04A3C155E61}"/>
    <cellStyle name="Total" xfId="15" builtinId="25" customBuiltin="1"/>
    <cellStyle name="Warning Text" xfId="12" builtinId="11" customBuiltin="1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inr\Downloads\ValueInvesting.io%20-%20Financials%20&amp;%20Models%20template.xlsx" TargetMode="External"/><Relationship Id="rId1" Type="http://schemas.openxmlformats.org/officeDocument/2006/relationships/externalLinkPath" Target="/Users/jainr/Downloads/ValueInvesting.io%20-%20Financials%20&amp;%20Models%20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ocuments\Ass.xlsx" TargetMode="External"/><Relationship Id="rId1" Type="http://schemas.openxmlformats.org/officeDocument/2006/relationships/externalLinkPath" Target="/Users/dell/Documents/A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"/>
      <sheetName val="Financials"/>
      <sheetName val="DCF"/>
      <sheetName val="Rev &amp; Exp"/>
      <sheetName val="NWC &amp; Capex"/>
      <sheetName val="WACC"/>
      <sheetName val="Terminal Value"/>
      <sheetName val="Trading Multiples"/>
      <sheetName val="EPV"/>
      <sheetName val="DDM"/>
      <sheetName val="Appendix"/>
    </sheetNames>
    <sheetDataSet>
      <sheetData sheetId="0" refreshError="1"/>
      <sheetData sheetId="1" refreshError="1">
        <row r="5">
          <cell r="G5" t="str">
            <v>Dec-2022</v>
          </cell>
        </row>
        <row r="58">
          <cell r="B58" t="str">
            <v>(USD in millions)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al Statements"/>
      <sheetName val="Income Statement Standard "/>
      <sheetName val="Standardized Income Statement"/>
      <sheetName val="Balance Sheet Standard"/>
      <sheetName val="Standardized Balance Sheet"/>
      <sheetName val="Standard Cash Flows"/>
      <sheetName val="Standardized Cash Flows  "/>
      <sheetName val="Appendix Statements"/>
      <sheetName val="Ratio Analysis"/>
      <sheetName val="Revnue Projections"/>
      <sheetName val="Forecasts"/>
      <sheetName val="WACC"/>
      <sheetName val=" Valuation"/>
      <sheetName val="Trading Multiples"/>
    </sheetNames>
    <sheetDataSet>
      <sheetData sheetId="0"/>
      <sheetData sheetId="1"/>
      <sheetData sheetId="2"/>
      <sheetData sheetId="3">
        <row r="14">
          <cell r="C14">
            <v>3492395</v>
          </cell>
        </row>
        <row r="29">
          <cell r="C29">
            <v>3467602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5">
          <cell r="B15">
            <v>511825.6</v>
          </cell>
          <cell r="C15">
            <v>414630.7</v>
          </cell>
          <cell r="D15">
            <v>427069.7</v>
          </cell>
          <cell r="E15">
            <v>444152.5</v>
          </cell>
          <cell r="F15">
            <v>453035.5</v>
          </cell>
          <cell r="G15">
            <v>475687.3</v>
          </cell>
        </row>
        <row r="16">
          <cell r="B16">
            <v>1360513</v>
          </cell>
          <cell r="C16">
            <v>1211190.1000000001</v>
          </cell>
          <cell r="D16">
            <v>1122773.2</v>
          </cell>
          <cell r="E16">
            <v>1037941.5</v>
          </cell>
          <cell r="F16">
            <v>1058700.3</v>
          </cell>
          <cell r="G16">
            <v>1111635.3</v>
          </cell>
        </row>
        <row r="21">
          <cell r="B21">
            <v>24793</v>
          </cell>
          <cell r="C21">
            <v>1869622.2</v>
          </cell>
          <cell r="D21">
            <v>1810788.8</v>
          </cell>
          <cell r="E21">
            <v>1763701.5</v>
          </cell>
          <cell r="F21">
            <v>1798975.5</v>
          </cell>
        </row>
        <row r="26">
          <cell r="B26">
            <v>840823.2</v>
          </cell>
          <cell r="C26">
            <v>866047.9</v>
          </cell>
          <cell r="D26">
            <v>900689.8</v>
          </cell>
          <cell r="E26">
            <v>918703.6</v>
          </cell>
          <cell r="F26">
            <v>964638.8</v>
          </cell>
          <cell r="G26">
            <v>1012870.7</v>
          </cell>
        </row>
        <row r="30">
          <cell r="B30">
            <v>795962.29999999993</v>
          </cell>
          <cell r="C30">
            <v>893724.4</v>
          </cell>
          <cell r="D30">
            <v>929480.70000000007</v>
          </cell>
          <cell r="E30">
            <v>948775.6</v>
          </cell>
          <cell r="F30">
            <v>995312.20000000007</v>
          </cell>
        </row>
        <row r="44">
          <cell r="B44">
            <v>3133827.0999999996</v>
          </cell>
          <cell r="C44">
            <v>986846.8</v>
          </cell>
          <cell r="D44">
            <v>1017891.2</v>
          </cell>
          <cell r="E44">
            <v>924765.99999999988</v>
          </cell>
          <cell r="F44">
            <v>934087.4</v>
          </cell>
        </row>
        <row r="49">
          <cell r="B49">
            <v>1087341</v>
          </cell>
          <cell r="C49">
            <v>942025.8</v>
          </cell>
          <cell r="D49">
            <v>968438.7</v>
          </cell>
          <cell r="E49">
            <v>889061.79999999993</v>
          </cell>
          <cell r="F49">
            <v>889052</v>
          </cell>
        </row>
      </sheetData>
      <sheetData sheetId="11">
        <row r="2">
          <cell r="B2">
            <v>9.9699999999999997E-2</v>
          </cell>
          <cell r="C2">
            <v>9.9500000000000005E-2</v>
          </cell>
          <cell r="D2">
            <v>9.5000000000000001E-2</v>
          </cell>
          <cell r="E2">
            <v>9.5000000000000001E-2</v>
          </cell>
          <cell r="F2">
            <v>9.5000000000000001E-2</v>
          </cell>
        </row>
        <row r="11">
          <cell r="B11">
            <v>5.551932162565331E-2</v>
          </cell>
        </row>
        <row r="20">
          <cell r="C20">
            <v>707696.99109999998</v>
          </cell>
          <cell r="D20">
            <v>757455.76400000008</v>
          </cell>
          <cell r="E20">
            <v>781223.95750000002</v>
          </cell>
          <cell r="F20">
            <v>824409.52750000008</v>
          </cell>
        </row>
        <row r="47">
          <cell r="B47">
            <v>0.90933891061198513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2F69446D-7088-48A7-85D9-6550E07963FA}">
  <we:reference id="wa200000934" version="1.1.0.0" store="en-US" storeType="OMEX"/>
  <we:alternateReferences>
    <we:reference id="WA200000934" version="1.1.0.0" store="WA200000934" storeType="OMEX"/>
  </we:alternateReferences>
  <we:properties>
    <we:property name="tutorialPlayed" value="true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49313290-8C1D-4F55-B2B2-75DAE3470547}">
  <we:reference id="wa200003692" version="1.0.0.1" store="en-US" storeType="OMEX"/>
  <we:alternateReferences>
    <we:reference id="wa200003692" version="1.0.0.1" store="WA200003692" storeType="OMEX"/>
  </we:alternateReferences>
  <we:properties/>
  <we:bindings/>
  <we:snapshot xmlns:r="http://schemas.openxmlformats.org/officeDocument/2006/relationships"/>
</we:webextension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pages.stern.nyu.edu/~adamodar/New_Home_Page/datafile/ctryprem.html" TargetMode="External"/><Relationship Id="rId2" Type="http://schemas.openxmlformats.org/officeDocument/2006/relationships/hyperlink" Target="https://tradingeconomics.com/bonds" TargetMode="External"/><Relationship Id="rId1" Type="http://schemas.openxmlformats.org/officeDocument/2006/relationships/hyperlink" Target="https://stockanalysis.com/stocks/mtd/statistics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2268E-8AD7-416B-81FF-1E2BA5E62F1C}">
  <dimension ref="A1:I246"/>
  <sheetViews>
    <sheetView topLeftCell="A86" zoomScaleNormal="100" workbookViewId="0">
      <selection activeCell="A92" sqref="A92"/>
    </sheetView>
  </sheetViews>
  <sheetFormatPr defaultColWidth="9.140625" defaultRowHeight="15.75"/>
  <cols>
    <col min="1" max="1" width="84.5703125" style="2" bestFit="1" customWidth="1"/>
    <col min="2" max="6" width="12.140625" style="2" bestFit="1" customWidth="1"/>
    <col min="7" max="16384" width="9.140625" style="2"/>
  </cols>
  <sheetData>
    <row r="1" spans="1:8">
      <c r="A1" s="434" t="s">
        <v>5</v>
      </c>
      <c r="B1" s="434"/>
      <c r="C1" s="434"/>
      <c r="D1" s="434"/>
      <c r="E1" s="434"/>
      <c r="F1" s="434"/>
    </row>
    <row r="2" spans="1:8">
      <c r="A2" s="3"/>
      <c r="B2" s="3"/>
      <c r="C2" s="3"/>
      <c r="D2" s="3"/>
      <c r="E2" s="3"/>
      <c r="F2" s="3"/>
    </row>
    <row r="3" spans="1:8">
      <c r="A3" s="435" t="s">
        <v>9</v>
      </c>
      <c r="B3" s="435"/>
      <c r="C3" s="435"/>
      <c r="D3" s="435"/>
      <c r="E3" s="435"/>
      <c r="F3" s="435"/>
    </row>
    <row r="4" spans="1:8">
      <c r="A4" s="24" t="s">
        <v>372</v>
      </c>
      <c r="B4" s="26" t="s">
        <v>15</v>
      </c>
      <c r="C4" s="26" t="s">
        <v>14</v>
      </c>
      <c r="D4" s="26" t="s">
        <v>13</v>
      </c>
      <c r="E4" s="26" t="s">
        <v>12</v>
      </c>
      <c r="F4" s="23" t="s">
        <v>11</v>
      </c>
    </row>
    <row r="5" spans="1:8">
      <c r="A5" s="25" t="s">
        <v>10</v>
      </c>
      <c r="B5" s="27" t="s">
        <v>4</v>
      </c>
      <c r="C5" s="27" t="s">
        <v>3</v>
      </c>
      <c r="D5" s="27" t="s">
        <v>2</v>
      </c>
      <c r="E5" s="27" t="s">
        <v>1</v>
      </c>
      <c r="F5" s="27" t="s">
        <v>0</v>
      </c>
    </row>
    <row r="6" spans="1:8" s="55" customFormat="1">
      <c r="A6" s="44" t="s">
        <v>16</v>
      </c>
      <c r="B6" s="56"/>
      <c r="C6" s="56"/>
      <c r="D6" s="56"/>
      <c r="E6" s="56"/>
      <c r="F6" s="56"/>
    </row>
    <row r="7" spans="1:8">
      <c r="A7" s="50" t="s">
        <v>17</v>
      </c>
      <c r="B7" s="57">
        <v>3118721</v>
      </c>
      <c r="C7" s="57">
        <v>2960615</v>
      </c>
      <c r="D7" s="57">
        <v>2405172</v>
      </c>
      <c r="E7" s="57">
        <v>2346845</v>
      </c>
      <c r="F7" s="57">
        <v>2300075</v>
      </c>
      <c r="H7" s="5"/>
    </row>
    <row r="8" spans="1:8">
      <c r="A8" s="50" t="s">
        <v>20</v>
      </c>
      <c r="B8" s="57">
        <v>800988</v>
      </c>
      <c r="C8" s="57">
        <v>757315</v>
      </c>
      <c r="D8" s="57">
        <v>680005</v>
      </c>
      <c r="E8" s="57">
        <v>661807</v>
      </c>
      <c r="F8" s="57">
        <v>635511</v>
      </c>
    </row>
    <row r="9" spans="1:8" s="55" customFormat="1">
      <c r="A9" s="54" t="s">
        <v>18</v>
      </c>
      <c r="B9" s="60">
        <f>SUM(B7:B8)</f>
        <v>3919709</v>
      </c>
      <c r="C9" s="60">
        <f t="shared" ref="C9:F9" si="0">SUM(C7:C8)</f>
        <v>3717930</v>
      </c>
      <c r="D9" s="60">
        <f t="shared" si="0"/>
        <v>3085177</v>
      </c>
      <c r="E9" s="60">
        <f t="shared" si="0"/>
        <v>3008652</v>
      </c>
      <c r="F9" s="60">
        <f t="shared" si="0"/>
        <v>2935586</v>
      </c>
    </row>
    <row r="10" spans="1:8" s="55" customFormat="1">
      <c r="A10" s="51" t="s">
        <v>19</v>
      </c>
      <c r="B10" s="58"/>
      <c r="C10" s="58"/>
      <c r="D10" s="58"/>
      <c r="E10" s="58"/>
      <c r="F10" s="58"/>
    </row>
    <row r="11" spans="1:8">
      <c r="A11" s="50" t="s">
        <v>17</v>
      </c>
      <c r="B11" s="57">
        <v>1227230</v>
      </c>
      <c r="C11" s="57">
        <v>1181020</v>
      </c>
      <c r="D11" s="57">
        <v>954697</v>
      </c>
      <c r="E11" s="57">
        <v>929669</v>
      </c>
      <c r="F11" s="57">
        <v>914086</v>
      </c>
    </row>
    <row r="12" spans="1:8">
      <c r="A12" s="50" t="s">
        <v>20</v>
      </c>
      <c r="B12" s="57">
        <v>384437</v>
      </c>
      <c r="C12" s="57">
        <v>365357</v>
      </c>
      <c r="D12" s="57">
        <v>329449</v>
      </c>
      <c r="E12" s="57">
        <v>337772</v>
      </c>
      <c r="F12" s="57">
        <v>337122</v>
      </c>
    </row>
    <row r="13" spans="1:8" s="55" customFormat="1">
      <c r="A13" s="54" t="s">
        <v>21</v>
      </c>
      <c r="B13" s="60">
        <f>B9-B11-B12</f>
        <v>2308042</v>
      </c>
      <c r="C13" s="60">
        <f t="shared" ref="C13:F13" si="1">C9-C11-C12</f>
        <v>2171553</v>
      </c>
      <c r="D13" s="60">
        <f t="shared" si="1"/>
        <v>1801031</v>
      </c>
      <c r="E13" s="60">
        <f t="shared" si="1"/>
        <v>1741211</v>
      </c>
      <c r="F13" s="60">
        <f t="shared" si="1"/>
        <v>1684378</v>
      </c>
    </row>
    <row r="14" spans="1:8">
      <c r="A14" s="45" t="s">
        <v>119</v>
      </c>
      <c r="B14" s="57">
        <v>177122</v>
      </c>
      <c r="C14" s="57">
        <v>169766</v>
      </c>
      <c r="D14" s="57">
        <v>140102</v>
      </c>
      <c r="E14" s="57">
        <v>143950</v>
      </c>
      <c r="F14" s="57">
        <v>141071</v>
      </c>
    </row>
    <row r="15" spans="1:8">
      <c r="A15" s="45" t="s">
        <v>22</v>
      </c>
      <c r="B15" s="57">
        <v>938461</v>
      </c>
      <c r="C15" s="57">
        <v>943976</v>
      </c>
      <c r="D15" s="57">
        <v>820221</v>
      </c>
      <c r="E15" s="57">
        <v>819183</v>
      </c>
      <c r="F15" s="57">
        <v>812802</v>
      </c>
    </row>
    <row r="16" spans="1:8">
      <c r="A16" s="52" t="s">
        <v>23</v>
      </c>
      <c r="B16" s="82">
        <v>66239</v>
      </c>
      <c r="C16" s="82">
        <v>63075</v>
      </c>
      <c r="D16" s="82">
        <v>56665</v>
      </c>
      <c r="E16" s="82">
        <v>49690</v>
      </c>
      <c r="F16" s="82">
        <v>47524</v>
      </c>
    </row>
    <row r="17" spans="1:7">
      <c r="A17" s="45" t="s">
        <v>24</v>
      </c>
      <c r="B17" s="57">
        <v>55392</v>
      </c>
      <c r="C17" s="57">
        <v>43242</v>
      </c>
      <c r="D17" s="57">
        <v>38616</v>
      </c>
      <c r="E17" s="57">
        <v>37411</v>
      </c>
      <c r="F17" s="57">
        <v>34511</v>
      </c>
    </row>
    <row r="18" spans="1:7">
      <c r="A18" s="45" t="s">
        <v>120</v>
      </c>
      <c r="B18" s="57">
        <v>9556</v>
      </c>
      <c r="C18" s="57">
        <v>5239</v>
      </c>
      <c r="D18" s="57">
        <v>10516</v>
      </c>
      <c r="E18" s="57">
        <v>15760</v>
      </c>
      <c r="F18" s="57">
        <v>18420</v>
      </c>
    </row>
    <row r="19" spans="1:7">
      <c r="A19" s="53" t="s">
        <v>25</v>
      </c>
      <c r="B19" s="59">
        <v>-9320</v>
      </c>
      <c r="C19" s="59">
        <v>-3106</v>
      </c>
      <c r="D19" s="59">
        <v>-13832</v>
      </c>
      <c r="E19" s="59">
        <v>-6177</v>
      </c>
      <c r="F19" s="59">
        <v>-2808</v>
      </c>
    </row>
    <row r="20" spans="1:7" s="55" customFormat="1">
      <c r="A20" s="83" t="s">
        <v>26</v>
      </c>
      <c r="B20" s="84">
        <f>B13-(SUM(B14:B19))</f>
        <v>1070592</v>
      </c>
      <c r="C20" s="84">
        <f t="shared" ref="C20:F20" si="2">C13-(SUM(C14:C19))</f>
        <v>949361</v>
      </c>
      <c r="D20" s="84">
        <f t="shared" si="2"/>
        <v>748743</v>
      </c>
      <c r="E20" s="84">
        <f t="shared" si="2"/>
        <v>681394</v>
      </c>
      <c r="F20" s="84">
        <f t="shared" si="2"/>
        <v>632858</v>
      </c>
    </row>
    <row r="21" spans="1:7">
      <c r="A21" s="45" t="s">
        <v>27</v>
      </c>
      <c r="B21" s="57">
        <v>198090</v>
      </c>
      <c r="C21" s="57">
        <v>180376</v>
      </c>
      <c r="D21" s="57">
        <v>146004</v>
      </c>
      <c r="E21" s="57">
        <v>120285</v>
      </c>
      <c r="F21" s="57">
        <v>139247</v>
      </c>
    </row>
    <row r="22" spans="1:7" s="55" customFormat="1">
      <c r="A22" s="85" t="s">
        <v>28</v>
      </c>
      <c r="B22" s="60">
        <f>B20-B21</f>
        <v>872502</v>
      </c>
      <c r="C22" s="60">
        <f t="shared" ref="C22:F22" si="3">C20-C21</f>
        <v>768985</v>
      </c>
      <c r="D22" s="60">
        <f t="shared" si="3"/>
        <v>602739</v>
      </c>
      <c r="E22" s="60">
        <f t="shared" si="3"/>
        <v>561109</v>
      </c>
      <c r="F22" s="60">
        <f t="shared" si="3"/>
        <v>493611</v>
      </c>
      <c r="G22" s="60"/>
    </row>
    <row r="23" spans="1:7">
      <c r="A23" s="45"/>
      <c r="B23" s="57"/>
      <c r="C23" s="57"/>
      <c r="D23" s="57"/>
      <c r="E23" s="57"/>
      <c r="F23" s="57"/>
    </row>
    <row r="24" spans="1:7" s="55" customFormat="1">
      <c r="A24" s="51" t="s">
        <v>29</v>
      </c>
      <c r="B24" s="58"/>
      <c r="C24" s="58"/>
      <c r="D24" s="58"/>
      <c r="E24" s="58"/>
      <c r="F24" s="58"/>
    </row>
    <row r="25" spans="1:7">
      <c r="A25" s="50" t="s">
        <v>30</v>
      </c>
      <c r="B25" s="46">
        <v>38.79</v>
      </c>
      <c r="C25" s="46">
        <v>33.25</v>
      </c>
      <c r="D25" s="46">
        <v>25.24</v>
      </c>
      <c r="E25" s="46">
        <v>22.84</v>
      </c>
      <c r="F25" s="46">
        <v>30.33</v>
      </c>
    </row>
    <row r="26" spans="1:7">
      <c r="A26" s="50" t="s">
        <v>31</v>
      </c>
      <c r="B26" s="57">
        <v>22491790</v>
      </c>
      <c r="C26" s="57">
        <v>23129862</v>
      </c>
      <c r="D26" s="57">
        <v>23882648</v>
      </c>
      <c r="E26" s="57">
        <v>24567609</v>
      </c>
      <c r="F26" s="57">
        <v>25215674</v>
      </c>
    </row>
    <row r="27" spans="1:7" s="55" customFormat="1">
      <c r="A27" s="54" t="s">
        <v>32</v>
      </c>
      <c r="B27" s="60"/>
      <c r="C27" s="60"/>
      <c r="D27" s="60"/>
      <c r="E27" s="60"/>
      <c r="F27" s="60"/>
    </row>
    <row r="28" spans="1:7">
      <c r="A28" s="50" t="s">
        <v>30</v>
      </c>
      <c r="B28" s="46">
        <v>38.409999999999997</v>
      </c>
      <c r="C28" s="46">
        <v>32.78</v>
      </c>
      <c r="D28" s="46">
        <v>24.91</v>
      </c>
      <c r="E28" s="46">
        <v>22.47</v>
      </c>
      <c r="F28" s="46">
        <v>19.88</v>
      </c>
    </row>
    <row r="29" spans="1:7">
      <c r="A29" s="50" t="s">
        <v>31</v>
      </c>
      <c r="B29" s="57">
        <v>22718290</v>
      </c>
      <c r="C29" s="57">
        <v>23457630</v>
      </c>
      <c r="D29" s="57">
        <v>24199230</v>
      </c>
      <c r="E29" s="57">
        <v>24974457</v>
      </c>
      <c r="F29" s="57">
        <v>25781324</v>
      </c>
    </row>
    <row r="30" spans="1:7">
      <c r="A30" s="6"/>
      <c r="B30" s="7"/>
      <c r="C30" s="7"/>
      <c r="D30" s="7"/>
      <c r="E30" s="7"/>
      <c r="F30" s="7"/>
    </row>
    <row r="31" spans="1:7">
      <c r="A31" s="436" t="s">
        <v>33</v>
      </c>
      <c r="B31" s="436"/>
      <c r="C31" s="436"/>
      <c r="D31" s="436"/>
      <c r="E31" s="436"/>
      <c r="F31" s="436"/>
    </row>
    <row r="32" spans="1:7">
      <c r="A32" s="24" t="s">
        <v>372</v>
      </c>
      <c r="B32" s="26" t="s">
        <v>15</v>
      </c>
      <c r="C32" s="26" t="s">
        <v>14</v>
      </c>
      <c r="D32" s="26" t="s">
        <v>13</v>
      </c>
      <c r="E32" s="26" t="s">
        <v>12</v>
      </c>
      <c r="F32" s="23" t="s">
        <v>11</v>
      </c>
    </row>
    <row r="33" spans="1:8">
      <c r="A33" s="25" t="s">
        <v>10</v>
      </c>
      <c r="B33" s="27" t="s">
        <v>4</v>
      </c>
      <c r="C33" s="27" t="s">
        <v>3</v>
      </c>
      <c r="D33" s="27" t="s">
        <v>2</v>
      </c>
      <c r="E33" s="27" t="s">
        <v>1</v>
      </c>
      <c r="F33" s="27" t="s">
        <v>0</v>
      </c>
    </row>
    <row r="34" spans="1:8" s="55" customFormat="1">
      <c r="A34" s="44" t="s">
        <v>30</v>
      </c>
      <c r="B34" s="60">
        <v>872502</v>
      </c>
      <c r="C34" s="60">
        <v>768985</v>
      </c>
      <c r="D34" s="60">
        <v>602739</v>
      </c>
      <c r="E34" s="56">
        <v>561109</v>
      </c>
      <c r="F34" s="56">
        <v>512611</v>
      </c>
    </row>
    <row r="35" spans="1:8">
      <c r="A35" s="45"/>
      <c r="B35" s="57"/>
      <c r="C35" s="57"/>
      <c r="D35" s="57"/>
      <c r="E35" s="57"/>
      <c r="F35" s="57"/>
    </row>
    <row r="36" spans="1:8" s="55" customFormat="1">
      <c r="A36" s="29" t="s">
        <v>37</v>
      </c>
      <c r="B36" s="61"/>
      <c r="C36" s="61"/>
      <c r="D36" s="61"/>
      <c r="E36" s="61"/>
      <c r="F36" s="61"/>
    </row>
    <row r="37" spans="1:8">
      <c r="A37" s="37" t="s">
        <v>34</v>
      </c>
      <c r="B37" s="61">
        <v>-63298</v>
      </c>
      <c r="C37" s="61">
        <v>11535</v>
      </c>
      <c r="D37" s="61">
        <v>29914</v>
      </c>
      <c r="E37" s="62">
        <v>2898</v>
      </c>
      <c r="F37" s="62">
        <v>-32573</v>
      </c>
    </row>
    <row r="38" spans="1:8" s="55" customFormat="1">
      <c r="A38" s="30" t="s">
        <v>36</v>
      </c>
      <c r="B38" s="61"/>
      <c r="C38" s="61"/>
      <c r="D38" s="61"/>
      <c r="E38" s="61"/>
      <c r="F38" s="61"/>
    </row>
    <row r="39" spans="1:8">
      <c r="A39" s="47" t="s">
        <v>35</v>
      </c>
      <c r="B39" s="63">
        <v>10029</v>
      </c>
      <c r="C39" s="63">
        <v>4394</v>
      </c>
      <c r="D39" s="63">
        <v>-11323</v>
      </c>
      <c r="E39" s="63">
        <v>-1063</v>
      </c>
      <c r="F39" s="63">
        <v>-658</v>
      </c>
    </row>
    <row r="40" spans="1:8">
      <c r="A40" s="47" t="s">
        <v>38</v>
      </c>
      <c r="B40" s="63">
        <v>-5775</v>
      </c>
      <c r="C40" s="63">
        <v>-2913</v>
      </c>
      <c r="D40" s="63">
        <v>11066</v>
      </c>
      <c r="E40" s="63">
        <v>-861</v>
      </c>
      <c r="F40" s="63">
        <v>2441</v>
      </c>
    </row>
    <row r="41" spans="1:8" s="55" customFormat="1">
      <c r="A41" s="48" t="s">
        <v>121</v>
      </c>
      <c r="B41" s="62"/>
      <c r="C41" s="62"/>
      <c r="D41" s="62"/>
      <c r="E41" s="62"/>
      <c r="F41" s="62"/>
    </row>
    <row r="42" spans="1:8">
      <c r="A42" s="47" t="s">
        <v>39</v>
      </c>
      <c r="B42" s="63">
        <v>70672</v>
      </c>
      <c r="C42" s="63">
        <v>19293</v>
      </c>
      <c r="D42" s="63">
        <v>-35662</v>
      </c>
      <c r="E42" s="63">
        <v>-32699</v>
      </c>
      <c r="F42" s="86">
        <v>-23326</v>
      </c>
    </row>
    <row r="43" spans="1:8">
      <c r="A43" s="49" t="s">
        <v>40</v>
      </c>
      <c r="B43" s="86">
        <v>-9</v>
      </c>
      <c r="C43" s="86">
        <v>18831</v>
      </c>
      <c r="D43" s="86">
        <v>-93</v>
      </c>
      <c r="E43" s="86">
        <v>430</v>
      </c>
      <c r="F43" s="86">
        <v>-780</v>
      </c>
    </row>
    <row r="44" spans="1:8">
      <c r="A44" s="47" t="s">
        <v>41</v>
      </c>
      <c r="B44" s="63">
        <v>13278</v>
      </c>
      <c r="C44" s="63">
        <v>19326</v>
      </c>
      <c r="D44" s="63">
        <v>14547</v>
      </c>
      <c r="E44" s="63">
        <v>12144</v>
      </c>
      <c r="F44" s="63">
        <v>14366</v>
      </c>
    </row>
    <row r="45" spans="1:8">
      <c r="A45" s="47" t="s">
        <v>42</v>
      </c>
      <c r="B45" s="63">
        <v>3094</v>
      </c>
      <c r="C45" s="63">
        <v>9235</v>
      </c>
      <c r="D45" s="63">
        <v>-19701</v>
      </c>
      <c r="E45" s="63">
        <v>-2108</v>
      </c>
      <c r="F45" s="63">
        <v>3522</v>
      </c>
    </row>
    <row r="46" spans="1:8" s="55" customFormat="1">
      <c r="A46" s="38" t="s">
        <v>43</v>
      </c>
      <c r="B46" s="62">
        <f>SUM(B37:B45)</f>
        <v>27991</v>
      </c>
      <c r="C46" s="62">
        <f t="shared" ref="C46:F46" si="4">SUM(C37:C45)</f>
        <v>79701</v>
      </c>
      <c r="D46" s="62">
        <f t="shared" si="4"/>
        <v>-11252</v>
      </c>
      <c r="E46" s="62">
        <f t="shared" si="4"/>
        <v>-21259</v>
      </c>
      <c r="F46" s="62">
        <f t="shared" si="4"/>
        <v>-37008</v>
      </c>
      <c r="H46" s="92"/>
    </row>
    <row r="47" spans="1:8">
      <c r="A47" s="38"/>
      <c r="B47" s="64"/>
      <c r="C47" s="64"/>
      <c r="D47" s="64"/>
      <c r="E47" s="64"/>
      <c r="F47" s="64"/>
    </row>
    <row r="48" spans="1:8" s="55" customFormat="1">
      <c r="A48" s="38" t="s">
        <v>44</v>
      </c>
      <c r="B48" s="62">
        <f>B34+B46</f>
        <v>900493</v>
      </c>
      <c r="C48" s="62">
        <f>C34+C46</f>
        <v>848686</v>
      </c>
      <c r="D48" s="62">
        <f>D34+D46</f>
        <v>591487</v>
      </c>
      <c r="E48" s="62">
        <f>E34+E46</f>
        <v>539850</v>
      </c>
      <c r="F48" s="62">
        <f>F34+F46</f>
        <v>475603</v>
      </c>
    </row>
    <row r="49" spans="1:6">
      <c r="A49" s="6"/>
      <c r="B49" s="7"/>
      <c r="C49" s="7"/>
      <c r="D49" s="7"/>
      <c r="E49" s="7"/>
      <c r="F49" s="7"/>
    </row>
    <row r="50" spans="1:6">
      <c r="A50" s="436" t="s">
        <v>45</v>
      </c>
      <c r="B50" s="436"/>
      <c r="C50" s="436"/>
      <c r="D50" s="436"/>
      <c r="E50" s="436"/>
      <c r="F50" s="436"/>
    </row>
    <row r="51" spans="1:6">
      <c r="A51" s="24" t="s">
        <v>372</v>
      </c>
      <c r="B51" s="26" t="s">
        <v>15</v>
      </c>
      <c r="C51" s="26" t="s">
        <v>14</v>
      </c>
      <c r="D51" s="26" t="s">
        <v>13</v>
      </c>
      <c r="E51" s="26" t="s">
        <v>12</v>
      </c>
      <c r="F51" s="23" t="s">
        <v>11</v>
      </c>
    </row>
    <row r="52" spans="1:6">
      <c r="A52" s="25" t="s">
        <v>10</v>
      </c>
      <c r="B52" s="27" t="s">
        <v>4</v>
      </c>
      <c r="C52" s="27" t="s">
        <v>3</v>
      </c>
      <c r="D52" s="27" t="s">
        <v>2</v>
      </c>
      <c r="E52" s="27" t="s">
        <v>1</v>
      </c>
      <c r="F52" s="27" t="s">
        <v>0</v>
      </c>
    </row>
    <row r="53" spans="1:6" s="55" customFormat="1">
      <c r="A53" s="41" t="s">
        <v>46</v>
      </c>
      <c r="B53" s="65"/>
      <c r="C53" s="65"/>
      <c r="D53" s="65"/>
      <c r="E53" s="65"/>
      <c r="F53" s="65"/>
    </row>
    <row r="54" spans="1:6" s="55" customFormat="1">
      <c r="A54" s="38" t="s">
        <v>47</v>
      </c>
      <c r="B54" s="66"/>
      <c r="C54" s="66"/>
      <c r="D54" s="66"/>
      <c r="E54" s="66"/>
      <c r="F54" s="66"/>
    </row>
    <row r="55" spans="1:6">
      <c r="A55" s="37" t="s">
        <v>48</v>
      </c>
      <c r="B55" s="87">
        <v>95966</v>
      </c>
      <c r="C55" s="87">
        <v>98564</v>
      </c>
      <c r="D55" s="87">
        <v>94254</v>
      </c>
      <c r="E55" s="87">
        <v>207785</v>
      </c>
      <c r="F55" s="87">
        <v>178110</v>
      </c>
    </row>
    <row r="56" spans="1:6">
      <c r="A56" s="37" t="s">
        <v>49</v>
      </c>
      <c r="B56" s="88">
        <v>709321</v>
      </c>
      <c r="C56" s="88">
        <v>647335</v>
      </c>
      <c r="D56" s="88">
        <v>593809</v>
      </c>
      <c r="E56" s="88">
        <v>566256</v>
      </c>
      <c r="F56" s="88">
        <v>535528</v>
      </c>
    </row>
    <row r="57" spans="1:6">
      <c r="A57" s="36" t="s">
        <v>50</v>
      </c>
      <c r="B57" s="63">
        <v>441694</v>
      </c>
      <c r="C57" s="63">
        <v>414543</v>
      </c>
      <c r="D57" s="63">
        <v>297611</v>
      </c>
      <c r="E57" s="63">
        <v>274285</v>
      </c>
      <c r="F57" s="63">
        <v>268821</v>
      </c>
    </row>
    <row r="58" spans="1:6">
      <c r="A58" s="37" t="s">
        <v>51</v>
      </c>
      <c r="B58" s="87">
        <v>128108</v>
      </c>
      <c r="C58" s="87">
        <v>108916</v>
      </c>
      <c r="D58" s="87">
        <v>71230</v>
      </c>
      <c r="E58" s="87">
        <v>61321</v>
      </c>
      <c r="F58" s="87">
        <v>63401</v>
      </c>
    </row>
    <row r="59" spans="1:6" s="55" customFormat="1">
      <c r="A59" s="39" t="s">
        <v>52</v>
      </c>
      <c r="B59" s="66">
        <f>SUM(B55:B58)</f>
        <v>1375089</v>
      </c>
      <c r="C59" s="66">
        <f>SUM(C55:C58)</f>
        <v>1269358</v>
      </c>
      <c r="D59" s="66">
        <f t="shared" ref="D59:F59" si="5">SUM(D55:D58)</f>
        <v>1056904</v>
      </c>
      <c r="E59" s="66">
        <f t="shared" si="5"/>
        <v>1109647</v>
      </c>
      <c r="F59" s="66">
        <f t="shared" si="5"/>
        <v>1045860</v>
      </c>
    </row>
    <row r="60" spans="1:6">
      <c r="A60" s="38"/>
      <c r="B60" s="66"/>
      <c r="C60" s="66"/>
      <c r="D60" s="66"/>
      <c r="E60" s="66"/>
      <c r="F60" s="66"/>
    </row>
    <row r="61" spans="1:6" s="55" customFormat="1">
      <c r="A61" s="38" t="s">
        <v>53</v>
      </c>
      <c r="B61" s="64"/>
      <c r="C61" s="64"/>
      <c r="D61" s="64"/>
      <c r="E61" s="64"/>
      <c r="F61" s="64"/>
    </row>
    <row r="62" spans="1:6">
      <c r="A62" s="37" t="s">
        <v>111</v>
      </c>
      <c r="B62" s="88">
        <v>778600</v>
      </c>
      <c r="C62" s="88">
        <v>799365</v>
      </c>
      <c r="D62" s="88">
        <v>798868</v>
      </c>
      <c r="E62" s="88">
        <v>748657</v>
      </c>
      <c r="F62" s="88">
        <v>717526</v>
      </c>
    </row>
    <row r="63" spans="1:6">
      <c r="A63" s="36" t="s">
        <v>54</v>
      </c>
      <c r="B63" s="67">
        <v>660170</v>
      </c>
      <c r="C63" s="67">
        <v>648622</v>
      </c>
      <c r="D63" s="67">
        <v>550270</v>
      </c>
      <c r="E63" s="67">
        <v>535979</v>
      </c>
      <c r="F63" s="67">
        <v>534780</v>
      </c>
    </row>
    <row r="64" spans="1:6">
      <c r="A64" s="36" t="s">
        <v>55</v>
      </c>
      <c r="B64" s="63">
        <v>306054</v>
      </c>
      <c r="C64" s="63">
        <v>307450</v>
      </c>
      <c r="D64" s="63">
        <v>196785</v>
      </c>
      <c r="E64" s="63">
        <v>206242</v>
      </c>
      <c r="F64" s="63">
        <v>217308</v>
      </c>
    </row>
    <row r="65" spans="1:6">
      <c r="A65" s="36" t="s">
        <v>56</v>
      </c>
      <c r="B65" s="68">
        <v>27080</v>
      </c>
      <c r="C65" s="68">
        <v>39496</v>
      </c>
      <c r="D65" s="68">
        <v>41836</v>
      </c>
      <c r="E65" s="68">
        <v>36978</v>
      </c>
      <c r="F65" s="68">
        <v>35066</v>
      </c>
    </row>
    <row r="66" spans="1:6">
      <c r="A66" s="36" t="s">
        <v>57</v>
      </c>
      <c r="B66" s="63">
        <v>345402</v>
      </c>
      <c r="C66" s="63">
        <v>262507</v>
      </c>
      <c r="D66" s="63">
        <v>169886</v>
      </c>
      <c r="E66" s="63">
        <v>151818</v>
      </c>
      <c r="F66" s="63">
        <v>68307</v>
      </c>
    </row>
    <row r="67" spans="1:6" s="55" customFormat="1">
      <c r="A67" s="31" t="s">
        <v>58</v>
      </c>
      <c r="B67" s="61">
        <f>SUM(B62:B66)</f>
        <v>2117306</v>
      </c>
      <c r="C67" s="61">
        <f>SUM(C62:C66)</f>
        <v>2057440</v>
      </c>
      <c r="D67" s="61">
        <f t="shared" ref="D67:F67" si="6">SUM(D62:D66)</f>
        <v>1757645</v>
      </c>
      <c r="E67" s="61">
        <f t="shared" si="6"/>
        <v>1679674</v>
      </c>
      <c r="F67" s="61">
        <f t="shared" si="6"/>
        <v>1572987</v>
      </c>
    </row>
    <row r="68" spans="1:6">
      <c r="A68" s="29"/>
      <c r="B68" s="63"/>
      <c r="C68" s="63"/>
      <c r="D68" s="63"/>
      <c r="E68" s="63"/>
      <c r="F68" s="63"/>
    </row>
    <row r="69" spans="1:6" s="55" customFormat="1">
      <c r="A69" s="31" t="s">
        <v>6</v>
      </c>
      <c r="B69" s="61">
        <f>SUM(B59,B67)</f>
        <v>3492395</v>
      </c>
      <c r="C69" s="61">
        <f>SUM(C59,C67)</f>
        <v>3326798</v>
      </c>
      <c r="D69" s="61">
        <f t="shared" ref="D69:F69" si="7">SUM(D59,D67)</f>
        <v>2814549</v>
      </c>
      <c r="E69" s="61">
        <f t="shared" si="7"/>
        <v>2789321</v>
      </c>
      <c r="F69" s="61">
        <f t="shared" si="7"/>
        <v>2618847</v>
      </c>
    </row>
    <row r="70" spans="1:6">
      <c r="A70" s="33"/>
      <c r="B70" s="68"/>
      <c r="C70" s="68"/>
      <c r="D70" s="68"/>
      <c r="E70" s="68"/>
      <c r="F70" s="68"/>
    </row>
    <row r="71" spans="1:6" s="55" customFormat="1">
      <c r="A71" s="42" t="s">
        <v>59</v>
      </c>
      <c r="B71" s="69"/>
      <c r="C71" s="69"/>
      <c r="D71" s="69"/>
      <c r="E71" s="69"/>
      <c r="F71" s="69"/>
    </row>
    <row r="72" spans="1:6" s="55" customFormat="1">
      <c r="A72" s="29" t="s">
        <v>60</v>
      </c>
      <c r="B72" s="69"/>
      <c r="C72" s="69"/>
      <c r="D72" s="69"/>
      <c r="E72" s="69"/>
      <c r="F72" s="69"/>
    </row>
    <row r="73" spans="1:6">
      <c r="A73" s="36" t="s">
        <v>61</v>
      </c>
      <c r="B73" s="63">
        <v>252538</v>
      </c>
      <c r="C73" s="63">
        <v>272911</v>
      </c>
      <c r="D73" s="63">
        <v>175801</v>
      </c>
      <c r="E73" s="63">
        <v>185592</v>
      </c>
      <c r="F73" s="63">
        <v>196641</v>
      </c>
    </row>
    <row r="74" spans="1:6">
      <c r="A74" s="36" t="s">
        <v>62</v>
      </c>
      <c r="B74" s="63">
        <v>205253</v>
      </c>
      <c r="C74" s="63">
        <v>208811</v>
      </c>
      <c r="D74" s="63">
        <v>196834</v>
      </c>
      <c r="E74" s="63">
        <v>166118</v>
      </c>
      <c r="F74" s="63">
        <v>156449</v>
      </c>
    </row>
    <row r="75" spans="1:6">
      <c r="A75" s="36" t="s">
        <v>63</v>
      </c>
      <c r="B75" s="63">
        <v>200031</v>
      </c>
      <c r="C75" s="63">
        <v>236265</v>
      </c>
      <c r="D75" s="63">
        <v>179252</v>
      </c>
      <c r="E75" s="63">
        <v>155402</v>
      </c>
      <c r="F75" s="63">
        <v>152516</v>
      </c>
    </row>
    <row r="76" spans="1:6">
      <c r="A76" s="36" t="s">
        <v>64</v>
      </c>
      <c r="B76" s="63">
        <v>192759</v>
      </c>
      <c r="C76" s="63">
        <v>192648</v>
      </c>
      <c r="D76" s="63">
        <v>149106</v>
      </c>
      <c r="E76" s="63">
        <v>122489</v>
      </c>
      <c r="F76" s="63">
        <v>105381</v>
      </c>
    </row>
    <row r="77" spans="1:6">
      <c r="A77" s="36" t="s">
        <v>65</v>
      </c>
      <c r="B77" s="63">
        <v>191096</v>
      </c>
      <c r="C77" s="63">
        <v>134769</v>
      </c>
      <c r="D77" s="63">
        <v>89017</v>
      </c>
      <c r="E77" s="63">
        <v>69043</v>
      </c>
      <c r="F77" s="63">
        <v>73777</v>
      </c>
    </row>
    <row r="78" spans="1:6">
      <c r="A78" s="36" t="s">
        <v>115</v>
      </c>
      <c r="B78" s="63">
        <v>106054</v>
      </c>
      <c r="C78" s="63">
        <v>101134</v>
      </c>
      <c r="D78" s="63">
        <v>50317</v>
      </c>
      <c r="E78" s="63">
        <v>55868</v>
      </c>
      <c r="F78" s="63">
        <v>49670</v>
      </c>
    </row>
    <row r="79" spans="1:6" s="55" customFormat="1">
      <c r="A79" s="28" t="s">
        <v>7</v>
      </c>
      <c r="B79" s="70">
        <f>SUM(B73:B78)</f>
        <v>1147731</v>
      </c>
      <c r="C79" s="70">
        <f>SUM(C73:C78)</f>
        <v>1146538</v>
      </c>
      <c r="D79" s="70">
        <f t="shared" ref="D79:F79" si="8">SUM(D73:D78)</f>
        <v>840327</v>
      </c>
      <c r="E79" s="70">
        <f t="shared" si="8"/>
        <v>754512</v>
      </c>
      <c r="F79" s="70">
        <f t="shared" si="8"/>
        <v>734434</v>
      </c>
    </row>
    <row r="80" spans="1:6">
      <c r="A80" s="43"/>
      <c r="B80" s="71"/>
      <c r="C80" s="71"/>
      <c r="D80" s="71"/>
      <c r="E80" s="71"/>
      <c r="F80" s="71"/>
    </row>
    <row r="81" spans="1:6" s="55" customFormat="1">
      <c r="A81" s="22" t="s">
        <v>66</v>
      </c>
      <c r="B81" s="72"/>
      <c r="C81" s="72"/>
      <c r="D81" s="72"/>
      <c r="E81" s="72"/>
      <c r="F81" s="72"/>
    </row>
    <row r="82" spans="1:6">
      <c r="A82" s="37" t="s">
        <v>67</v>
      </c>
      <c r="B82" s="88">
        <v>1908480</v>
      </c>
      <c r="C82" s="88">
        <v>1580808</v>
      </c>
      <c r="D82" s="88">
        <v>1284174</v>
      </c>
      <c r="E82" s="88">
        <v>1235350</v>
      </c>
      <c r="F82" s="88">
        <v>985021</v>
      </c>
    </row>
    <row r="83" spans="1:6">
      <c r="A83" s="36" t="s">
        <v>68</v>
      </c>
      <c r="B83" s="63">
        <v>111360</v>
      </c>
      <c r="C83" s="63">
        <v>62230</v>
      </c>
      <c r="D83" s="63">
        <v>34448</v>
      </c>
      <c r="E83" s="63">
        <v>45267</v>
      </c>
      <c r="F83" s="63">
        <v>48818</v>
      </c>
    </row>
    <row r="84" spans="1:6">
      <c r="A84" s="36" t="s">
        <v>116</v>
      </c>
      <c r="B84" s="63">
        <v>300031</v>
      </c>
      <c r="C84" s="63">
        <v>365801</v>
      </c>
      <c r="D84" s="63">
        <v>372925</v>
      </c>
      <c r="E84" s="63">
        <v>333412</v>
      </c>
      <c r="F84" s="63">
        <v>260511</v>
      </c>
    </row>
    <row r="85" spans="1:6" s="55" customFormat="1">
      <c r="A85" s="28" t="s">
        <v>69</v>
      </c>
      <c r="B85" s="61">
        <f>SUM(B82:B84)</f>
        <v>2319871</v>
      </c>
      <c r="C85" s="61">
        <f>SUM(C82:C84)</f>
        <v>2008839</v>
      </c>
      <c r="D85" s="61">
        <f t="shared" ref="D85:F85" si="9">SUM(D82:D84)</f>
        <v>1691547</v>
      </c>
      <c r="E85" s="61">
        <f t="shared" si="9"/>
        <v>1614029</v>
      </c>
      <c r="F85" s="61">
        <f t="shared" si="9"/>
        <v>1294350</v>
      </c>
    </row>
    <row r="86" spans="1:6" s="55" customFormat="1">
      <c r="A86" s="28"/>
      <c r="B86" s="61"/>
      <c r="C86" s="61"/>
      <c r="D86" s="61"/>
      <c r="E86" s="61"/>
      <c r="F86" s="61"/>
    </row>
    <row r="87" spans="1:6" s="55" customFormat="1">
      <c r="A87" s="31" t="s">
        <v>8</v>
      </c>
      <c r="B87" s="61">
        <f>B79+B85</f>
        <v>3467602</v>
      </c>
      <c r="C87" s="61">
        <f>C79+C85</f>
        <v>3155377</v>
      </c>
      <c r="D87" s="61">
        <f t="shared" ref="D87:F87" si="10">D79+D85</f>
        <v>2531874</v>
      </c>
      <c r="E87" s="61">
        <f t="shared" si="10"/>
        <v>2368541</v>
      </c>
      <c r="F87" s="61">
        <f t="shared" si="10"/>
        <v>2028784</v>
      </c>
    </row>
    <row r="88" spans="1:6">
      <c r="A88" s="33"/>
      <c r="B88" s="63"/>
      <c r="C88" s="63"/>
      <c r="D88" s="63"/>
      <c r="E88" s="63"/>
      <c r="F88" s="63"/>
    </row>
    <row r="89" spans="1:6" s="55" customFormat="1">
      <c r="A89" s="42" t="s">
        <v>70</v>
      </c>
      <c r="B89" s="61"/>
      <c r="C89" s="61"/>
      <c r="D89" s="61"/>
      <c r="E89" s="61"/>
      <c r="F89" s="61"/>
    </row>
    <row r="90" spans="1:6">
      <c r="A90" s="36" t="s">
        <v>470</v>
      </c>
      <c r="B90" s="63">
        <v>0</v>
      </c>
      <c r="C90" s="63">
        <v>0</v>
      </c>
      <c r="D90" s="63">
        <v>0</v>
      </c>
      <c r="E90" s="63">
        <v>0</v>
      </c>
      <c r="F90" s="63">
        <v>0</v>
      </c>
    </row>
    <row r="91" spans="1:6">
      <c r="A91" s="36" t="s">
        <v>471</v>
      </c>
      <c r="B91" s="63">
        <v>448</v>
      </c>
      <c r="C91" s="63">
        <v>448</v>
      </c>
      <c r="D91" s="63">
        <v>448</v>
      </c>
      <c r="E91" s="63">
        <v>448</v>
      </c>
      <c r="F91" s="63">
        <v>448</v>
      </c>
    </row>
    <row r="92" spans="1:6">
      <c r="A92" s="89" t="s">
        <v>71</v>
      </c>
      <c r="B92" s="63">
        <v>850368</v>
      </c>
      <c r="C92" s="63">
        <v>825974</v>
      </c>
      <c r="D92" s="63">
        <v>805140</v>
      </c>
      <c r="E92" s="63">
        <v>783871</v>
      </c>
      <c r="F92" s="63">
        <v>764717</v>
      </c>
    </row>
    <row r="93" spans="1:6">
      <c r="A93" s="36" t="s">
        <v>72</v>
      </c>
      <c r="B93" s="63">
        <v>-7325656</v>
      </c>
      <c r="C93" s="63">
        <v>-6259049</v>
      </c>
      <c r="D93" s="63">
        <v>-5283584</v>
      </c>
      <c r="E93" s="63">
        <v>-4539154</v>
      </c>
      <c r="F93" s="63">
        <v>-3814604</v>
      </c>
    </row>
    <row r="94" spans="1:6">
      <c r="A94" s="89" t="s">
        <v>73</v>
      </c>
      <c r="B94" s="63">
        <v>6726866</v>
      </c>
      <c r="C94" s="63">
        <v>5859272</v>
      </c>
      <c r="D94" s="63">
        <v>5095596</v>
      </c>
      <c r="E94" s="63">
        <v>4499288</v>
      </c>
      <c r="F94" s="63">
        <v>3941916</v>
      </c>
    </row>
    <row r="95" spans="1:6">
      <c r="A95" s="89" t="s">
        <v>74</v>
      </c>
      <c r="B95" s="63">
        <v>-227233</v>
      </c>
      <c r="C95" s="63">
        <v>-255224</v>
      </c>
      <c r="D95" s="63">
        <v>-334925</v>
      </c>
      <c r="E95" s="63">
        <v>-323673</v>
      </c>
      <c r="F95" s="63">
        <v>-302414</v>
      </c>
    </row>
    <row r="96" spans="1:6" s="55" customFormat="1">
      <c r="A96" s="31" t="s">
        <v>75</v>
      </c>
      <c r="B96" s="61">
        <f>SUM(B90:B95)</f>
        <v>24793</v>
      </c>
      <c r="C96" s="61">
        <f>SUM(C90:C95)</f>
        <v>171421</v>
      </c>
      <c r="D96" s="61">
        <f t="shared" ref="D96:F96" si="11">SUM(D90:D95)</f>
        <v>282675</v>
      </c>
      <c r="E96" s="61">
        <f t="shared" si="11"/>
        <v>420780</v>
      </c>
      <c r="F96" s="61">
        <f t="shared" si="11"/>
        <v>590063</v>
      </c>
    </row>
    <row r="97" spans="1:6">
      <c r="A97" s="38"/>
      <c r="B97" s="62"/>
      <c r="C97" s="62"/>
      <c r="D97" s="62"/>
      <c r="E97" s="62"/>
      <c r="F97" s="62"/>
    </row>
    <row r="98" spans="1:6" s="55" customFormat="1">
      <c r="A98" s="39" t="s">
        <v>76</v>
      </c>
      <c r="B98" s="64">
        <f>B87+B96</f>
        <v>3492395</v>
      </c>
      <c r="C98" s="64">
        <f>C87+C96</f>
        <v>3326798</v>
      </c>
      <c r="D98" s="64">
        <f>D87+D96</f>
        <v>2814549</v>
      </c>
      <c r="E98" s="64">
        <f t="shared" ref="E98:F98" si="12">E87+E96</f>
        <v>2789321</v>
      </c>
      <c r="F98" s="64">
        <f t="shared" si="12"/>
        <v>2618847</v>
      </c>
    </row>
    <row r="99" spans="1:6">
      <c r="A99" s="8"/>
      <c r="B99" s="9"/>
      <c r="C99" s="9"/>
      <c r="D99" s="9"/>
      <c r="E99" s="9"/>
      <c r="F99" s="9"/>
    </row>
    <row r="100" spans="1:6">
      <c r="A100" s="436" t="s">
        <v>77</v>
      </c>
      <c r="B100" s="436"/>
      <c r="C100" s="436"/>
      <c r="D100" s="436"/>
      <c r="E100" s="436"/>
      <c r="F100" s="436"/>
    </row>
    <row r="101" spans="1:6">
      <c r="A101" s="24" t="s">
        <v>112</v>
      </c>
      <c r="B101" s="26" t="s">
        <v>15</v>
      </c>
      <c r="C101" s="26" t="s">
        <v>14</v>
      </c>
      <c r="D101" s="26" t="s">
        <v>13</v>
      </c>
      <c r="E101" s="26" t="s">
        <v>12</v>
      </c>
      <c r="F101" s="23" t="s">
        <v>11</v>
      </c>
    </row>
    <row r="102" spans="1:6">
      <c r="A102" s="25" t="s">
        <v>10</v>
      </c>
      <c r="B102" s="27" t="s">
        <v>4</v>
      </c>
      <c r="C102" s="27" t="s">
        <v>3</v>
      </c>
      <c r="D102" s="27" t="s">
        <v>2</v>
      </c>
      <c r="E102" s="27" t="s">
        <v>1</v>
      </c>
      <c r="F102" s="27" t="s">
        <v>0</v>
      </c>
    </row>
    <row r="103" spans="1:6" s="55" customFormat="1">
      <c r="A103" s="32" t="s">
        <v>92</v>
      </c>
      <c r="B103" s="73"/>
      <c r="C103" s="73"/>
      <c r="D103" s="73"/>
      <c r="E103" s="73"/>
      <c r="F103" s="73"/>
    </row>
    <row r="104" spans="1:6">
      <c r="A104" s="33" t="s">
        <v>78</v>
      </c>
      <c r="B104" s="74">
        <v>872502</v>
      </c>
      <c r="C104" s="74">
        <v>768985</v>
      </c>
      <c r="D104" s="74">
        <v>602739</v>
      </c>
      <c r="E104" s="74">
        <v>561109</v>
      </c>
      <c r="F104" s="74">
        <v>512611</v>
      </c>
    </row>
    <row r="105" spans="1:6" s="55" customFormat="1">
      <c r="A105" s="34" t="s">
        <v>79</v>
      </c>
      <c r="B105" s="75"/>
      <c r="C105" s="75"/>
      <c r="D105" s="75"/>
      <c r="E105" s="75"/>
      <c r="F105" s="75"/>
    </row>
    <row r="106" spans="1:6">
      <c r="A106" s="35" t="s">
        <v>80</v>
      </c>
      <c r="B106" s="76">
        <v>46784</v>
      </c>
      <c r="C106" s="76">
        <v>44982</v>
      </c>
      <c r="D106" s="76">
        <v>42044</v>
      </c>
      <c r="E106" s="76">
        <v>38991</v>
      </c>
      <c r="F106" s="76">
        <v>37167</v>
      </c>
    </row>
    <row r="107" spans="1:6">
      <c r="A107" s="36" t="s">
        <v>23</v>
      </c>
      <c r="B107" s="76">
        <v>66239</v>
      </c>
      <c r="C107" s="76">
        <v>63075</v>
      </c>
      <c r="D107" s="76">
        <v>56665</v>
      </c>
      <c r="E107" s="76">
        <v>49690</v>
      </c>
      <c r="F107" s="76">
        <v>47524</v>
      </c>
    </row>
    <row r="108" spans="1:6">
      <c r="A108" s="36" t="s">
        <v>117</v>
      </c>
      <c r="B108" s="76">
        <v>26517</v>
      </c>
      <c r="C108" s="76">
        <v>563</v>
      </c>
      <c r="D108" s="76">
        <v>-12784</v>
      </c>
      <c r="E108" s="76">
        <v>11203</v>
      </c>
      <c r="F108" s="76">
        <v>2302</v>
      </c>
    </row>
    <row r="109" spans="1:6">
      <c r="A109" s="36" t="s">
        <v>81</v>
      </c>
      <c r="B109" s="76">
        <v>19661</v>
      </c>
      <c r="C109" s="76">
        <v>19595</v>
      </c>
      <c r="D109" s="76">
        <v>18687</v>
      </c>
      <c r="E109" s="76">
        <v>18285</v>
      </c>
      <c r="F109" s="76">
        <v>17579</v>
      </c>
    </row>
    <row r="110" spans="1:6">
      <c r="A110" s="36" t="s">
        <v>82</v>
      </c>
      <c r="B110" s="74">
        <v>0</v>
      </c>
      <c r="C110" s="74">
        <v>0</v>
      </c>
      <c r="D110" s="74">
        <v>0</v>
      </c>
      <c r="E110" s="74">
        <v>-15833</v>
      </c>
      <c r="F110" s="74">
        <v>0</v>
      </c>
    </row>
    <row r="111" spans="1:6">
      <c r="A111" s="36" t="s">
        <v>83</v>
      </c>
      <c r="B111" s="74">
        <v>0</v>
      </c>
      <c r="C111" s="74">
        <v>0</v>
      </c>
      <c r="D111" s="74">
        <v>0</v>
      </c>
      <c r="E111" s="74">
        <v>0</v>
      </c>
      <c r="F111" s="74">
        <v>3597</v>
      </c>
    </row>
    <row r="112" spans="1:6">
      <c r="A112" s="36" t="s">
        <v>84</v>
      </c>
      <c r="B112" s="74">
        <v>0</v>
      </c>
      <c r="C112" s="74">
        <v>6849</v>
      </c>
      <c r="D112" s="74">
        <v>0</v>
      </c>
      <c r="E112" s="74">
        <v>0</v>
      </c>
      <c r="F112" s="74">
        <v>-18674</v>
      </c>
    </row>
    <row r="113" spans="1:6">
      <c r="A113" s="36" t="s">
        <v>85</v>
      </c>
      <c r="B113" s="74">
        <v>0</v>
      </c>
      <c r="C113" s="74">
        <v>381</v>
      </c>
      <c r="D113" s="74">
        <v>-2399</v>
      </c>
      <c r="E113" s="74">
        <v>133</v>
      </c>
      <c r="F113" s="74">
        <v>-2559</v>
      </c>
    </row>
    <row r="114" spans="1:6" s="55" customFormat="1">
      <c r="A114" s="29" t="s">
        <v>86</v>
      </c>
      <c r="B114" s="77"/>
      <c r="C114" s="77"/>
      <c r="D114" s="77"/>
      <c r="E114" s="77"/>
      <c r="F114" s="77"/>
    </row>
    <row r="115" spans="1:6">
      <c r="A115" s="36" t="s">
        <v>87</v>
      </c>
      <c r="B115" s="74">
        <v>-83417</v>
      </c>
      <c r="C115" s="74">
        <v>-66468</v>
      </c>
      <c r="D115" s="74">
        <v>-4495</v>
      </c>
      <c r="E115" s="74">
        <v>-31408</v>
      </c>
      <c r="F115" s="74">
        <v>-19540</v>
      </c>
    </row>
    <row r="116" spans="1:6">
      <c r="A116" s="37" t="s">
        <v>50</v>
      </c>
      <c r="B116" s="90">
        <v>-43392</v>
      </c>
      <c r="C116" s="90">
        <v>-118718</v>
      </c>
      <c r="D116" s="90">
        <v>-3836</v>
      </c>
      <c r="E116" s="90">
        <v>-4603</v>
      </c>
      <c r="F116" s="90">
        <v>-21195</v>
      </c>
    </row>
    <row r="117" spans="1:6">
      <c r="A117" s="37" t="s">
        <v>88</v>
      </c>
      <c r="B117" s="91">
        <v>-16263</v>
      </c>
      <c r="C117" s="91">
        <v>-5040</v>
      </c>
      <c r="D117" s="91">
        <v>-4763</v>
      </c>
      <c r="E117" s="91">
        <v>-335</v>
      </c>
      <c r="F117" s="91">
        <v>622</v>
      </c>
    </row>
    <row r="118" spans="1:6">
      <c r="A118" s="37" t="s">
        <v>89</v>
      </c>
      <c r="B118" s="91">
        <v>-13826</v>
      </c>
      <c r="C118" s="91">
        <v>93973</v>
      </c>
      <c r="D118" s="91">
        <v>-17803</v>
      </c>
      <c r="E118" s="91">
        <v>-12221</v>
      </c>
      <c r="F118" s="91">
        <v>33671</v>
      </c>
    </row>
    <row r="119" spans="1:6">
      <c r="A119" s="36" t="s">
        <v>65</v>
      </c>
      <c r="B119" s="74">
        <v>55859</v>
      </c>
      <c r="C119" s="74">
        <v>19688</v>
      </c>
      <c r="D119" s="74">
        <v>14049</v>
      </c>
      <c r="E119" s="74">
        <v>-6176</v>
      </c>
      <c r="F119" s="74">
        <v>-1528</v>
      </c>
    </row>
    <row r="120" spans="1:6">
      <c r="A120" s="36" t="s">
        <v>122</v>
      </c>
      <c r="B120" s="74">
        <v>-71597</v>
      </c>
      <c r="C120" s="74">
        <v>80960</v>
      </c>
      <c r="D120" s="74">
        <v>36595</v>
      </c>
      <c r="E120" s="74">
        <v>-5385</v>
      </c>
      <c r="F120" s="74">
        <v>-26572</v>
      </c>
    </row>
    <row r="121" spans="1:6" s="55" customFormat="1">
      <c r="A121" s="31" t="s">
        <v>90</v>
      </c>
      <c r="B121" s="77">
        <f>SUM(B104:B120)</f>
        <v>859067</v>
      </c>
      <c r="C121" s="77">
        <f t="shared" ref="C121:E121" si="13">SUM(C104:C120)</f>
        <v>908825</v>
      </c>
      <c r="D121" s="77">
        <f t="shared" si="13"/>
        <v>724699</v>
      </c>
      <c r="E121" s="77">
        <f t="shared" si="13"/>
        <v>603450</v>
      </c>
      <c r="F121" s="77">
        <f>SUM(F104:F120)</f>
        <v>565005</v>
      </c>
    </row>
    <row r="122" spans="1:6">
      <c r="A122" s="33"/>
      <c r="B122" s="74"/>
      <c r="C122" s="74"/>
      <c r="D122" s="74"/>
      <c r="E122" s="74"/>
      <c r="F122" s="74"/>
    </row>
    <row r="123" spans="1:6" s="55" customFormat="1">
      <c r="A123" s="29" t="s">
        <v>91</v>
      </c>
      <c r="B123" s="77"/>
      <c r="C123" s="77"/>
      <c r="D123" s="77"/>
      <c r="E123" s="77"/>
      <c r="F123" s="77"/>
    </row>
    <row r="124" spans="1:6">
      <c r="A124" s="36" t="s">
        <v>93</v>
      </c>
      <c r="B124" s="74">
        <v>399</v>
      </c>
      <c r="C124" s="74">
        <v>3652</v>
      </c>
      <c r="D124" s="74">
        <v>3106</v>
      </c>
      <c r="E124" s="74">
        <v>1422</v>
      </c>
      <c r="F124" s="74">
        <v>8190</v>
      </c>
    </row>
    <row r="125" spans="1:6">
      <c r="A125" s="36" t="s">
        <v>123</v>
      </c>
      <c r="B125" s="74">
        <v>-121241</v>
      </c>
      <c r="C125" s="74">
        <v>-107580</v>
      </c>
      <c r="D125" s="74">
        <v>-92494</v>
      </c>
      <c r="E125" s="74">
        <v>-97341</v>
      </c>
      <c r="F125" s="74">
        <v>-142726</v>
      </c>
    </row>
    <row r="126" spans="1:6">
      <c r="A126" s="36" t="s">
        <v>126</v>
      </c>
      <c r="B126" s="74">
        <v>29670</v>
      </c>
      <c r="C126" s="74">
        <v>0</v>
      </c>
      <c r="D126" s="74">
        <v>0</v>
      </c>
      <c r="E126" s="74">
        <v>0</v>
      </c>
      <c r="F126" s="74">
        <v>0</v>
      </c>
    </row>
    <row r="127" spans="1:6">
      <c r="A127" s="36" t="s">
        <v>94</v>
      </c>
      <c r="B127" s="74">
        <v>-37951</v>
      </c>
      <c r="C127" s="74">
        <v>-220862</v>
      </c>
      <c r="D127" s="74">
        <v>-6242</v>
      </c>
      <c r="E127" s="74">
        <v>-2004</v>
      </c>
      <c r="F127" s="74">
        <v>-5527</v>
      </c>
    </row>
    <row r="128" spans="1:6">
      <c r="A128" s="36" t="s">
        <v>118</v>
      </c>
      <c r="B128" s="74">
        <v>-10272</v>
      </c>
      <c r="C128" s="74">
        <v>10682</v>
      </c>
      <c r="D128" s="74">
        <v>-4730</v>
      </c>
      <c r="E128" s="74">
        <v>-1160</v>
      </c>
      <c r="F128" s="74">
        <v>1119</v>
      </c>
    </row>
    <row r="129" spans="1:6" s="55" customFormat="1">
      <c r="A129" s="31" t="s">
        <v>95</v>
      </c>
      <c r="B129" s="77">
        <f>SUM(B124:B128)</f>
        <v>-139395</v>
      </c>
      <c r="C129" s="77">
        <f t="shared" ref="C129:F129" si="14">SUM(C124:C128)</f>
        <v>-314108</v>
      </c>
      <c r="D129" s="77">
        <f t="shared" si="14"/>
        <v>-100360</v>
      </c>
      <c r="E129" s="77">
        <f t="shared" si="14"/>
        <v>-99083</v>
      </c>
      <c r="F129" s="77">
        <f t="shared" si="14"/>
        <v>-138944</v>
      </c>
    </row>
    <row r="130" spans="1:6">
      <c r="A130" s="33"/>
      <c r="B130" s="74"/>
      <c r="C130" s="74"/>
      <c r="D130" s="74"/>
      <c r="E130" s="74"/>
      <c r="F130" s="74"/>
    </row>
    <row r="131" spans="1:6" s="55" customFormat="1">
      <c r="A131" s="38" t="s">
        <v>96</v>
      </c>
      <c r="B131" s="78"/>
      <c r="C131" s="78"/>
      <c r="D131" s="78"/>
      <c r="E131" s="78"/>
      <c r="F131" s="78"/>
    </row>
    <row r="132" spans="1:6">
      <c r="A132" s="37" t="s">
        <v>97</v>
      </c>
      <c r="B132" s="91">
        <v>2307256</v>
      </c>
      <c r="C132" s="91">
        <v>2427519</v>
      </c>
      <c r="D132" s="91">
        <v>1489040</v>
      </c>
      <c r="E132" s="91">
        <v>1435081</v>
      </c>
      <c r="F132" s="91">
        <v>940615</v>
      </c>
    </row>
    <row r="133" spans="1:6">
      <c r="A133" s="36" t="s">
        <v>98</v>
      </c>
      <c r="B133" s="74">
        <v>-1947398</v>
      </c>
      <c r="C133" s="74">
        <v>-2035546</v>
      </c>
      <c r="D133" s="74">
        <v>-1483869</v>
      </c>
      <c r="E133" s="74">
        <v>-1176784</v>
      </c>
      <c r="F133" s="74">
        <v>-876324</v>
      </c>
    </row>
    <row r="134" spans="1:6">
      <c r="A134" s="37" t="s">
        <v>99</v>
      </c>
      <c r="B134" s="91">
        <v>33216</v>
      </c>
      <c r="C134" s="91">
        <v>20463</v>
      </c>
      <c r="D134" s="91">
        <v>26719</v>
      </c>
      <c r="E134" s="91">
        <v>47581</v>
      </c>
      <c r="F134" s="91">
        <v>24600</v>
      </c>
    </row>
    <row r="135" spans="1:6">
      <c r="A135" s="37" t="s">
        <v>100</v>
      </c>
      <c r="B135" s="90">
        <v>-1099998</v>
      </c>
      <c r="C135" s="90">
        <v>-999998</v>
      </c>
      <c r="D135" s="90">
        <v>-774998</v>
      </c>
      <c r="E135" s="90">
        <v>-774999</v>
      </c>
      <c r="F135" s="90">
        <v>-474999</v>
      </c>
    </row>
    <row r="136" spans="1:6">
      <c r="A136" s="37" t="s">
        <v>101</v>
      </c>
      <c r="B136" s="91">
        <v>-7912</v>
      </c>
      <c r="C136" s="91">
        <v>0</v>
      </c>
      <c r="D136" s="91">
        <v>0</v>
      </c>
      <c r="E136" s="91">
        <v>-10000</v>
      </c>
      <c r="F136" s="91">
        <v>0</v>
      </c>
    </row>
    <row r="137" spans="1:6">
      <c r="A137" s="37" t="s">
        <v>102</v>
      </c>
      <c r="B137" s="90">
        <v>-1203</v>
      </c>
      <c r="C137" s="90">
        <v>-2987</v>
      </c>
      <c r="D137" s="90">
        <v>-800</v>
      </c>
      <c r="E137" s="90">
        <v>1753</v>
      </c>
      <c r="F137" s="90">
        <v>-1914</v>
      </c>
    </row>
    <row r="138" spans="1:6" s="55" customFormat="1">
      <c r="A138" s="39" t="s">
        <v>103</v>
      </c>
      <c r="B138" s="78">
        <f>SUM(B132:B137)</f>
        <v>-716039</v>
      </c>
      <c r="C138" s="78">
        <f t="shared" ref="C138:F138" si="15">SUM(C132:C137)</f>
        <v>-590549</v>
      </c>
      <c r="D138" s="78">
        <f t="shared" si="15"/>
        <v>-743908</v>
      </c>
      <c r="E138" s="78">
        <f t="shared" si="15"/>
        <v>-477368</v>
      </c>
      <c r="F138" s="78">
        <f t="shared" si="15"/>
        <v>-388022</v>
      </c>
    </row>
    <row r="139" spans="1:6">
      <c r="A139" s="38"/>
      <c r="B139" s="79"/>
      <c r="C139" s="79"/>
      <c r="D139" s="79"/>
      <c r="E139" s="79"/>
      <c r="F139" s="79"/>
    </row>
    <row r="140" spans="1:6">
      <c r="A140" s="40" t="s">
        <v>124</v>
      </c>
      <c r="B140" s="91">
        <v>-6231</v>
      </c>
      <c r="C140" s="91">
        <v>142</v>
      </c>
      <c r="D140" s="91">
        <v>6038</v>
      </c>
      <c r="E140" s="91">
        <v>2676</v>
      </c>
      <c r="F140" s="91">
        <v>8616</v>
      </c>
    </row>
    <row r="141" spans="1:6">
      <c r="A141" s="33" t="s">
        <v>125</v>
      </c>
      <c r="B141" s="74">
        <v>-2598</v>
      </c>
      <c r="C141" s="74">
        <v>4310</v>
      </c>
      <c r="D141" s="74">
        <v>-113531</v>
      </c>
      <c r="E141" s="74">
        <v>29675</v>
      </c>
      <c r="F141" s="74">
        <v>29423</v>
      </c>
    </row>
    <row r="142" spans="1:6" s="55" customFormat="1">
      <c r="A142" s="29" t="s">
        <v>104</v>
      </c>
      <c r="B142" s="80"/>
      <c r="C142" s="80"/>
      <c r="D142" s="80"/>
      <c r="E142" s="80"/>
      <c r="F142" s="80"/>
    </row>
    <row r="143" spans="1:6">
      <c r="A143" s="36" t="s">
        <v>105</v>
      </c>
      <c r="B143" s="74">
        <v>98564</v>
      </c>
      <c r="C143" s="74">
        <v>94254</v>
      </c>
      <c r="D143" s="74">
        <v>207785</v>
      </c>
      <c r="E143" s="74">
        <v>178110</v>
      </c>
      <c r="F143" s="74">
        <v>148687</v>
      </c>
    </row>
    <row r="144" spans="1:6">
      <c r="A144" s="36" t="s">
        <v>106</v>
      </c>
      <c r="B144" s="74">
        <v>95966</v>
      </c>
      <c r="C144" s="74">
        <v>98564</v>
      </c>
      <c r="D144" s="74">
        <v>94254</v>
      </c>
      <c r="E144" s="74">
        <v>207785</v>
      </c>
      <c r="F144" s="74">
        <v>178110</v>
      </c>
    </row>
    <row r="145" spans="1:6">
      <c r="A145" s="33"/>
      <c r="B145" s="74"/>
      <c r="C145" s="74"/>
      <c r="D145" s="74"/>
      <c r="E145" s="74"/>
      <c r="F145" s="74"/>
    </row>
    <row r="146" spans="1:6" s="55" customFormat="1">
      <c r="A146" s="29" t="s">
        <v>107</v>
      </c>
      <c r="B146" s="77"/>
      <c r="C146" s="77"/>
      <c r="D146" s="77"/>
      <c r="E146" s="77"/>
      <c r="F146" s="77"/>
    </row>
    <row r="147" spans="1:6" s="55" customFormat="1">
      <c r="A147" s="29" t="s">
        <v>108</v>
      </c>
      <c r="B147" s="77"/>
      <c r="C147" s="77"/>
      <c r="D147" s="77"/>
      <c r="E147" s="77"/>
      <c r="F147" s="77"/>
    </row>
    <row r="148" spans="1:6">
      <c r="A148" s="36" t="s">
        <v>109</v>
      </c>
      <c r="B148" s="81">
        <v>52314</v>
      </c>
      <c r="C148" s="81">
        <v>41338</v>
      </c>
      <c r="D148" s="81">
        <v>37772</v>
      </c>
      <c r="E148" s="81">
        <v>37499</v>
      </c>
      <c r="F148" s="81">
        <v>34451</v>
      </c>
    </row>
    <row r="149" spans="1:6">
      <c r="A149" s="36" t="s">
        <v>110</v>
      </c>
      <c r="B149" s="81">
        <v>114038</v>
      </c>
      <c r="C149" s="81">
        <v>152657</v>
      </c>
      <c r="D149" s="81">
        <v>134674</v>
      </c>
      <c r="E149" s="81">
        <v>129347</v>
      </c>
      <c r="F149" s="81">
        <v>132410</v>
      </c>
    </row>
    <row r="150" spans="1:6">
      <c r="A150" s="6"/>
      <c r="B150" s="11"/>
      <c r="C150" s="11"/>
      <c r="D150" s="11"/>
      <c r="E150" s="11"/>
      <c r="F150" s="11"/>
    </row>
    <row r="151" spans="1:6">
      <c r="A151" s="20"/>
      <c r="B151" s="20"/>
      <c r="C151" s="20"/>
      <c r="D151" s="20"/>
      <c r="E151" s="20"/>
      <c r="F151" s="20"/>
    </row>
    <row r="152" spans="1:6">
      <c r="A152" s="4"/>
    </row>
    <row r="153" spans="1:6">
      <c r="A153" s="12"/>
      <c r="B153" s="13"/>
      <c r="C153" s="13"/>
      <c r="D153" s="13"/>
      <c r="E153" s="13"/>
      <c r="F153" s="13"/>
    </row>
    <row r="154" spans="1:6">
      <c r="A154" s="14"/>
      <c r="B154" s="15"/>
      <c r="C154" s="15"/>
      <c r="D154" s="15"/>
      <c r="E154" s="15"/>
      <c r="F154" s="15"/>
    </row>
    <row r="155" spans="1:6">
      <c r="A155" s="8"/>
      <c r="B155" s="10"/>
      <c r="C155" s="10"/>
      <c r="D155" s="10"/>
      <c r="E155" s="10"/>
      <c r="F155" s="10"/>
    </row>
    <row r="156" spans="1:6">
      <c r="A156" s="6"/>
      <c r="B156" s="7"/>
      <c r="C156" s="7"/>
      <c r="D156" s="7"/>
      <c r="E156" s="7"/>
      <c r="F156" s="7"/>
    </row>
    <row r="157" spans="1:6">
      <c r="A157" s="6"/>
      <c r="B157" s="7"/>
      <c r="C157" s="7"/>
      <c r="D157" s="7"/>
      <c r="E157" s="7"/>
      <c r="F157" s="7"/>
    </row>
    <row r="158" spans="1:6">
      <c r="A158" s="6"/>
      <c r="B158" s="7"/>
      <c r="C158" s="7"/>
      <c r="D158" s="7"/>
      <c r="E158" s="7"/>
      <c r="F158" s="7"/>
    </row>
    <row r="159" spans="1:6">
      <c r="A159" s="6"/>
      <c r="B159" s="7"/>
      <c r="C159" s="7"/>
      <c r="D159" s="7"/>
      <c r="E159" s="7"/>
      <c r="F159" s="7"/>
    </row>
    <row r="160" spans="1:6">
      <c r="A160" s="6"/>
      <c r="B160" s="7"/>
      <c r="C160" s="7"/>
      <c r="D160" s="7"/>
      <c r="E160" s="7"/>
      <c r="F160" s="7"/>
    </row>
    <row r="161" spans="1:6">
      <c r="A161" s="6"/>
      <c r="B161" s="7"/>
      <c r="C161" s="7"/>
      <c r="D161" s="7"/>
      <c r="E161" s="7"/>
      <c r="F161" s="7"/>
    </row>
    <row r="162" spans="1:6">
      <c r="A162" s="6"/>
      <c r="B162" s="7"/>
      <c r="C162" s="7"/>
      <c r="D162" s="7"/>
      <c r="E162" s="7"/>
      <c r="F162" s="7"/>
    </row>
    <row r="163" spans="1:6">
      <c r="A163" s="6"/>
      <c r="B163" s="7"/>
      <c r="C163" s="7"/>
      <c r="D163" s="7"/>
      <c r="E163" s="7"/>
      <c r="F163" s="7"/>
    </row>
    <row r="164" spans="1:6">
      <c r="A164" s="6"/>
      <c r="B164" s="7"/>
      <c r="C164" s="7"/>
      <c r="D164" s="7"/>
      <c r="E164" s="7"/>
      <c r="F164" s="7"/>
    </row>
    <row r="165" spans="1:6">
      <c r="A165" s="6"/>
      <c r="B165" s="7"/>
      <c r="C165" s="7"/>
      <c r="D165" s="7"/>
      <c r="E165" s="7"/>
      <c r="F165" s="7"/>
    </row>
    <row r="166" spans="1:6">
      <c r="A166" s="6"/>
      <c r="B166" s="7"/>
      <c r="C166" s="7"/>
      <c r="D166" s="7"/>
      <c r="E166" s="7"/>
      <c r="F166" s="7"/>
    </row>
    <row r="167" spans="1:6">
      <c r="A167" s="6"/>
      <c r="B167" s="7"/>
      <c r="C167" s="7"/>
      <c r="D167" s="7"/>
      <c r="E167" s="7"/>
      <c r="F167" s="7"/>
    </row>
    <row r="168" spans="1:6">
      <c r="A168" s="6"/>
      <c r="B168" s="7"/>
      <c r="C168" s="7"/>
      <c r="D168" s="7"/>
      <c r="E168" s="7"/>
      <c r="F168" s="7"/>
    </row>
    <row r="169" spans="1:6">
      <c r="A169" s="6"/>
      <c r="B169" s="7"/>
      <c r="C169" s="7"/>
      <c r="D169" s="7"/>
      <c r="E169" s="7"/>
      <c r="F169" s="7"/>
    </row>
    <row r="170" spans="1:6">
      <c r="A170" s="6"/>
      <c r="B170" s="7"/>
      <c r="C170" s="7"/>
      <c r="D170" s="7"/>
      <c r="E170" s="7"/>
      <c r="F170" s="7"/>
    </row>
    <row r="171" spans="1:6">
      <c r="A171" s="8"/>
      <c r="B171" s="16"/>
      <c r="C171" s="16"/>
      <c r="D171" s="16"/>
      <c r="E171" s="16"/>
      <c r="F171" s="16"/>
    </row>
    <row r="172" spans="1:6">
      <c r="A172" s="6"/>
      <c r="B172" s="7"/>
      <c r="C172" s="7"/>
      <c r="D172" s="7"/>
      <c r="E172" s="7"/>
      <c r="F172" s="7"/>
    </row>
    <row r="173" spans="1:6">
      <c r="A173" s="6"/>
      <c r="B173" s="7"/>
      <c r="C173" s="7"/>
      <c r="D173" s="7"/>
      <c r="E173" s="7"/>
      <c r="F173" s="7"/>
    </row>
    <row r="174" spans="1:6">
      <c r="A174" s="6"/>
      <c r="B174" s="7"/>
      <c r="C174" s="7"/>
      <c r="D174" s="7"/>
      <c r="E174" s="7"/>
      <c r="F174" s="7"/>
    </row>
    <row r="175" spans="1:6">
      <c r="A175" s="6"/>
      <c r="B175" s="7"/>
      <c r="C175" s="7"/>
      <c r="D175" s="7"/>
      <c r="E175" s="7"/>
      <c r="F175" s="7"/>
    </row>
    <row r="176" spans="1:6">
      <c r="A176" s="6"/>
      <c r="B176" s="7"/>
      <c r="C176" s="7"/>
      <c r="D176" s="7"/>
      <c r="E176" s="7"/>
      <c r="F176" s="7"/>
    </row>
    <row r="177" spans="1:6">
      <c r="A177" s="6"/>
      <c r="B177" s="7"/>
      <c r="C177" s="7"/>
      <c r="D177" s="7"/>
      <c r="E177" s="7"/>
      <c r="F177" s="7"/>
    </row>
    <row r="178" spans="1:6">
      <c r="A178" s="17"/>
      <c r="B178" s="18"/>
      <c r="C178" s="18"/>
      <c r="D178" s="18"/>
      <c r="E178" s="18"/>
      <c r="F178" s="18"/>
    </row>
    <row r="179" spans="1:6">
      <c r="A179" s="17"/>
      <c r="B179" s="18"/>
      <c r="C179" s="18"/>
      <c r="D179" s="18"/>
      <c r="E179" s="18"/>
      <c r="F179" s="18"/>
    </row>
    <row r="180" spans="1:6">
      <c r="A180" s="6"/>
      <c r="B180" s="7"/>
      <c r="C180" s="7"/>
      <c r="D180" s="7"/>
      <c r="E180" s="7"/>
      <c r="F180" s="7"/>
    </row>
    <row r="181" spans="1:6">
      <c r="A181" s="6"/>
      <c r="B181" s="7"/>
      <c r="C181" s="7"/>
      <c r="D181" s="7"/>
      <c r="E181" s="7"/>
      <c r="F181" s="7"/>
    </row>
    <row r="182" spans="1:6">
      <c r="A182" s="6"/>
      <c r="B182" s="7"/>
      <c r="C182" s="7"/>
      <c r="D182" s="7"/>
      <c r="E182" s="7"/>
      <c r="F182" s="7"/>
    </row>
    <row r="183" spans="1:6">
      <c r="A183" s="6"/>
      <c r="B183" s="7"/>
      <c r="C183" s="7"/>
      <c r="D183" s="7"/>
      <c r="E183" s="7"/>
      <c r="F183" s="7"/>
    </row>
    <row r="184" spans="1:6">
      <c r="A184" s="8"/>
      <c r="B184" s="16"/>
      <c r="C184" s="16"/>
      <c r="D184" s="16"/>
      <c r="E184" s="16"/>
      <c r="F184" s="16"/>
    </row>
    <row r="185" spans="1:6">
      <c r="A185" s="8"/>
      <c r="B185" s="16"/>
      <c r="C185" s="16"/>
      <c r="D185" s="16"/>
      <c r="E185" s="16"/>
      <c r="F185" s="16"/>
    </row>
    <row r="186" spans="1:6">
      <c r="A186" s="8"/>
      <c r="B186" s="9"/>
      <c r="C186" s="9"/>
      <c r="D186" s="9"/>
      <c r="E186" s="9"/>
      <c r="F186" s="9"/>
    </row>
    <row r="187" spans="1:6">
      <c r="A187" s="8"/>
      <c r="B187" s="9"/>
      <c r="C187" s="9"/>
      <c r="D187" s="9"/>
      <c r="E187" s="9"/>
      <c r="F187" s="9"/>
    </row>
    <row r="188" spans="1:6">
      <c r="A188" s="6"/>
      <c r="B188" s="7"/>
      <c r="C188" s="7"/>
      <c r="D188" s="7"/>
      <c r="E188" s="7"/>
      <c r="F188" s="7"/>
    </row>
    <row r="189" spans="1:6">
      <c r="A189" s="6"/>
      <c r="B189" s="7"/>
      <c r="C189" s="7"/>
      <c r="D189" s="7"/>
      <c r="E189" s="7"/>
      <c r="F189" s="7"/>
    </row>
    <row r="190" spans="1:6">
      <c r="A190" s="6"/>
      <c r="B190" s="7"/>
      <c r="C190" s="7"/>
      <c r="D190" s="7"/>
      <c r="E190" s="7"/>
      <c r="F190" s="7"/>
    </row>
    <row r="191" spans="1:6">
      <c r="A191" s="6"/>
      <c r="B191" s="7"/>
      <c r="C191" s="7"/>
      <c r="D191" s="7"/>
      <c r="E191" s="7"/>
      <c r="F191" s="7"/>
    </row>
    <row r="192" spans="1:6">
      <c r="A192" s="6"/>
      <c r="B192" s="7"/>
      <c r="C192" s="7"/>
      <c r="D192" s="7"/>
      <c r="E192" s="7"/>
      <c r="F192" s="7"/>
    </row>
    <row r="193" spans="1:6">
      <c r="A193" s="6"/>
      <c r="B193" s="7"/>
      <c r="C193" s="7"/>
      <c r="D193" s="7"/>
      <c r="E193" s="7"/>
      <c r="F193" s="7"/>
    </row>
    <row r="194" spans="1:6">
      <c r="A194" s="6"/>
      <c r="B194" s="7"/>
      <c r="C194" s="7"/>
      <c r="D194" s="7"/>
      <c r="E194" s="7"/>
      <c r="F194" s="7"/>
    </row>
    <row r="195" spans="1:6">
      <c r="A195" s="17"/>
      <c r="B195" s="18"/>
      <c r="C195" s="18"/>
      <c r="D195" s="18"/>
      <c r="E195" s="18"/>
      <c r="F195" s="18"/>
    </row>
    <row r="196" spans="1:6">
      <c r="A196" s="17"/>
      <c r="B196" s="18"/>
      <c r="C196" s="18"/>
      <c r="D196" s="18"/>
      <c r="E196" s="18"/>
      <c r="F196" s="18"/>
    </row>
    <row r="197" spans="1:6">
      <c r="A197" s="6"/>
      <c r="B197" s="7"/>
      <c r="C197" s="7"/>
      <c r="D197" s="7"/>
      <c r="E197" s="7"/>
      <c r="F197" s="7"/>
    </row>
    <row r="198" spans="1:6">
      <c r="A198" s="6"/>
      <c r="B198" s="7"/>
      <c r="C198" s="7"/>
      <c r="D198" s="7"/>
      <c r="E198" s="7"/>
      <c r="F198" s="7"/>
    </row>
    <row r="199" spans="1:6">
      <c r="A199" s="6"/>
      <c r="B199" s="7"/>
      <c r="C199" s="7"/>
      <c r="D199" s="7"/>
      <c r="E199" s="7"/>
      <c r="F199" s="7"/>
    </row>
    <row r="200" spans="1:6">
      <c r="A200" s="6"/>
      <c r="B200" s="7"/>
      <c r="C200" s="7"/>
      <c r="D200" s="7"/>
      <c r="E200" s="7"/>
      <c r="F200" s="7"/>
    </row>
    <row r="201" spans="1:6">
      <c r="A201" s="6"/>
      <c r="B201" s="7"/>
      <c r="C201" s="7"/>
      <c r="D201" s="7"/>
      <c r="E201" s="7"/>
      <c r="F201" s="7"/>
    </row>
    <row r="202" spans="1:6">
      <c r="A202" s="6"/>
      <c r="B202" s="7"/>
      <c r="C202" s="7"/>
      <c r="D202" s="7"/>
      <c r="E202" s="7"/>
      <c r="F202" s="7"/>
    </row>
    <row r="203" spans="1:6">
      <c r="A203" s="8"/>
      <c r="B203" s="16"/>
      <c r="C203" s="16"/>
      <c r="D203" s="16"/>
      <c r="E203" s="16"/>
      <c r="F203" s="16"/>
    </row>
    <row r="204" spans="1:6">
      <c r="A204" s="6"/>
      <c r="B204" s="7"/>
      <c r="C204" s="7"/>
      <c r="D204" s="7"/>
      <c r="E204" s="7"/>
      <c r="F204" s="7"/>
    </row>
    <row r="205" spans="1:6">
      <c r="A205" s="6"/>
      <c r="B205" s="7"/>
      <c r="C205" s="7"/>
      <c r="D205" s="7"/>
      <c r="E205" s="7"/>
      <c r="F205" s="7"/>
    </row>
    <row r="206" spans="1:6">
      <c r="A206" s="6"/>
      <c r="B206" s="7"/>
      <c r="C206" s="7"/>
      <c r="D206" s="7"/>
      <c r="E206" s="7"/>
      <c r="F206" s="7"/>
    </row>
    <row r="207" spans="1:6">
      <c r="A207" s="17"/>
      <c r="B207" s="18"/>
      <c r="C207" s="18"/>
      <c r="D207" s="18"/>
      <c r="E207" s="18"/>
      <c r="F207" s="18"/>
    </row>
    <row r="208" spans="1:6">
      <c r="A208" s="17"/>
      <c r="B208" s="18"/>
      <c r="C208" s="18"/>
      <c r="D208" s="18"/>
      <c r="E208" s="18"/>
      <c r="F208" s="18"/>
    </row>
    <row r="209" spans="1:6">
      <c r="A209" s="6"/>
      <c r="B209" s="7"/>
      <c r="C209" s="7"/>
      <c r="D209" s="7"/>
      <c r="E209" s="7"/>
      <c r="F209" s="7"/>
    </row>
    <row r="210" spans="1:6">
      <c r="A210" s="6"/>
      <c r="B210" s="7"/>
      <c r="C210" s="7"/>
      <c r="D210" s="7"/>
      <c r="E210" s="7"/>
      <c r="F210" s="7"/>
    </row>
    <row r="211" spans="1:6">
      <c r="A211" s="6"/>
      <c r="B211" s="7"/>
      <c r="C211" s="7"/>
      <c r="D211" s="7"/>
      <c r="E211" s="7"/>
      <c r="F211" s="7"/>
    </row>
    <row r="212" spans="1:6">
      <c r="A212" s="6"/>
      <c r="B212" s="7"/>
      <c r="C212" s="7"/>
      <c r="D212" s="7"/>
      <c r="E212" s="7"/>
      <c r="F212" s="7"/>
    </row>
    <row r="213" spans="1:6">
      <c r="A213" s="6"/>
      <c r="B213" s="7"/>
      <c r="C213" s="7"/>
      <c r="D213" s="7"/>
      <c r="E213" s="7"/>
      <c r="F213" s="7"/>
    </row>
    <row r="214" spans="1:6">
      <c r="A214" s="6"/>
      <c r="B214" s="7"/>
      <c r="C214" s="7"/>
      <c r="D214" s="7"/>
      <c r="E214" s="7"/>
      <c r="F214" s="7"/>
    </row>
    <row r="215" spans="1:6">
      <c r="A215" s="6"/>
      <c r="B215" s="7"/>
      <c r="C215" s="7"/>
      <c r="D215" s="7"/>
      <c r="E215" s="7"/>
      <c r="F215" s="7"/>
    </row>
    <row r="216" spans="1:6">
      <c r="A216" s="8"/>
      <c r="B216" s="16"/>
      <c r="C216" s="16"/>
      <c r="D216" s="16"/>
      <c r="E216" s="16"/>
      <c r="F216" s="16"/>
    </row>
    <row r="217" spans="1:6">
      <c r="A217" s="8"/>
      <c r="B217" s="16"/>
      <c r="C217" s="16"/>
      <c r="D217" s="16"/>
      <c r="E217" s="16"/>
      <c r="F217" s="16"/>
    </row>
    <row r="218" spans="1:6">
      <c r="A218" s="6"/>
      <c r="B218" s="7"/>
      <c r="C218" s="7"/>
      <c r="D218" s="7"/>
      <c r="E218" s="7"/>
      <c r="F218" s="7"/>
    </row>
    <row r="219" spans="1:6">
      <c r="A219" s="6"/>
      <c r="B219" s="7"/>
      <c r="C219" s="7"/>
      <c r="D219" s="7"/>
      <c r="E219" s="7"/>
      <c r="F219" s="7"/>
    </row>
    <row r="220" spans="1:6">
      <c r="A220" s="6"/>
      <c r="B220" s="7"/>
      <c r="C220" s="7"/>
      <c r="D220" s="7"/>
      <c r="E220" s="7"/>
      <c r="F220" s="7"/>
    </row>
    <row r="221" spans="1:6">
      <c r="A221" s="6"/>
      <c r="B221" s="7"/>
      <c r="C221" s="7"/>
      <c r="D221" s="7"/>
      <c r="E221" s="7"/>
      <c r="F221" s="7"/>
    </row>
    <row r="222" spans="1:6">
      <c r="A222" s="6"/>
      <c r="B222" s="7"/>
      <c r="C222" s="7"/>
      <c r="D222" s="7"/>
      <c r="E222" s="7"/>
      <c r="F222" s="7"/>
    </row>
    <row r="223" spans="1:6">
      <c r="A223" s="6"/>
      <c r="B223" s="7"/>
      <c r="C223" s="7"/>
      <c r="D223" s="7"/>
      <c r="E223" s="7"/>
      <c r="F223" s="7"/>
    </row>
    <row r="224" spans="1:6">
      <c r="A224" s="6"/>
      <c r="B224" s="7"/>
      <c r="C224" s="7"/>
      <c r="D224" s="7"/>
      <c r="E224" s="7"/>
      <c r="F224" s="7"/>
    </row>
    <row r="225" spans="1:6">
      <c r="A225" s="8"/>
      <c r="B225" s="16"/>
      <c r="C225" s="16"/>
      <c r="D225" s="16"/>
      <c r="E225" s="16"/>
      <c r="F225" s="16"/>
    </row>
    <row r="226" spans="1:6">
      <c r="A226" s="6"/>
      <c r="B226" s="7"/>
      <c r="C226" s="7"/>
      <c r="D226" s="7"/>
      <c r="E226" s="7"/>
      <c r="F226" s="7"/>
    </row>
    <row r="227" spans="1:6">
      <c r="A227" s="8"/>
      <c r="B227" s="16"/>
      <c r="C227" s="16"/>
      <c r="D227" s="16"/>
      <c r="E227" s="16"/>
      <c r="F227" s="16"/>
    </row>
    <row r="228" spans="1:6">
      <c r="A228" s="8"/>
      <c r="B228" s="16"/>
      <c r="C228" s="16"/>
      <c r="D228" s="16"/>
      <c r="E228" s="16"/>
      <c r="F228" s="16"/>
    </row>
    <row r="229" spans="1:6">
      <c r="A229" s="8"/>
      <c r="B229" s="9"/>
      <c r="C229" s="9"/>
      <c r="D229" s="9"/>
      <c r="E229" s="9"/>
      <c r="F229" s="9"/>
    </row>
    <row r="230" spans="1:6">
      <c r="A230" s="8"/>
      <c r="B230" s="9"/>
      <c r="C230" s="9"/>
      <c r="D230" s="9"/>
      <c r="E230" s="9"/>
      <c r="F230" s="9"/>
    </row>
    <row r="231" spans="1:6">
      <c r="A231" s="6"/>
      <c r="B231" s="21"/>
      <c r="C231" s="21"/>
      <c r="D231" s="21"/>
      <c r="E231" s="21"/>
      <c r="F231" s="21"/>
    </row>
    <row r="232" spans="1:6">
      <c r="A232" s="6"/>
      <c r="B232" s="7"/>
      <c r="C232" s="7"/>
      <c r="D232" s="7"/>
      <c r="E232" s="7"/>
      <c r="F232" s="7"/>
    </row>
    <row r="233" spans="1:6">
      <c r="A233" s="6"/>
      <c r="B233" s="7"/>
      <c r="C233" s="7"/>
      <c r="D233" s="7"/>
      <c r="E233" s="7"/>
      <c r="F233" s="7"/>
    </row>
    <row r="234" spans="1:6">
      <c r="A234" s="6"/>
      <c r="B234" s="7"/>
      <c r="C234" s="7"/>
      <c r="D234" s="7"/>
      <c r="E234" s="7"/>
      <c r="F234" s="7"/>
    </row>
    <row r="235" spans="1:6">
      <c r="A235" s="6"/>
      <c r="B235" s="7"/>
      <c r="C235" s="7"/>
      <c r="D235" s="7"/>
      <c r="E235" s="7"/>
      <c r="F235" s="7"/>
    </row>
    <row r="236" spans="1:6">
      <c r="A236" s="6"/>
      <c r="B236" s="7"/>
      <c r="C236" s="7"/>
      <c r="D236" s="7"/>
      <c r="E236" s="7"/>
      <c r="F236" s="7"/>
    </row>
    <row r="237" spans="1:6">
      <c r="A237" s="6"/>
      <c r="B237" s="7"/>
      <c r="C237" s="7"/>
      <c r="D237" s="7"/>
      <c r="E237" s="7"/>
      <c r="F237" s="7"/>
    </row>
    <row r="238" spans="1:6">
      <c r="A238" s="6"/>
      <c r="B238" s="7"/>
      <c r="C238" s="7"/>
      <c r="D238" s="7"/>
      <c r="E238" s="7"/>
      <c r="F238" s="7"/>
    </row>
    <row r="239" spans="1:6">
      <c r="A239" s="6"/>
      <c r="B239" s="7"/>
      <c r="C239" s="7"/>
      <c r="D239" s="7"/>
      <c r="E239" s="7"/>
      <c r="F239" s="7"/>
    </row>
    <row r="240" spans="1:6">
      <c r="A240" s="6"/>
      <c r="B240" s="11"/>
      <c r="C240" s="11"/>
      <c r="D240" s="11"/>
      <c r="E240" s="11"/>
      <c r="F240" s="11"/>
    </row>
    <row r="241" spans="1:9">
      <c r="A241" s="6"/>
      <c r="B241" s="11"/>
      <c r="C241" s="11"/>
      <c r="D241" s="11"/>
      <c r="E241" s="11"/>
      <c r="F241" s="11"/>
    </row>
    <row r="242" spans="1:9">
      <c r="A242" s="6"/>
      <c r="B242" s="11"/>
      <c r="C242" s="11"/>
      <c r="D242" s="11"/>
      <c r="E242" s="11"/>
      <c r="F242" s="11"/>
    </row>
    <row r="243" spans="1:9">
      <c r="A243" s="6"/>
      <c r="B243" s="11"/>
      <c r="C243" s="11"/>
      <c r="D243" s="11"/>
      <c r="E243" s="11"/>
      <c r="F243" s="11"/>
    </row>
    <row r="244" spans="1:9">
      <c r="A244" s="6"/>
      <c r="B244" s="11"/>
      <c r="C244" s="11"/>
      <c r="D244" s="11"/>
      <c r="E244" s="11"/>
      <c r="F244" s="11"/>
    </row>
    <row r="245" spans="1:9">
      <c r="A245" s="19"/>
      <c r="B245" s="19"/>
      <c r="C245" s="19"/>
      <c r="D245" s="19"/>
      <c r="E245" s="19"/>
      <c r="F245" s="19"/>
      <c r="G245" s="19"/>
      <c r="H245" s="19"/>
      <c r="I245" s="19"/>
    </row>
    <row r="246" spans="1:9">
      <c r="A246" s="1"/>
    </row>
  </sheetData>
  <mergeCells count="5">
    <mergeCell ref="A1:F1"/>
    <mergeCell ref="A3:F3"/>
    <mergeCell ref="A31:F31"/>
    <mergeCell ref="A50:F50"/>
    <mergeCell ref="A100:F10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7B80A-5ADA-41E0-9335-FC2BD1A90AA3}">
  <dimension ref="A1:AA1000"/>
  <sheetViews>
    <sheetView showGridLines="0" topLeftCell="A11" workbookViewId="0">
      <selection activeCell="G26" sqref="G26"/>
    </sheetView>
  </sheetViews>
  <sheetFormatPr defaultColWidth="14.42578125" defaultRowHeight="15"/>
  <cols>
    <col min="1" max="1" width="7.42578125" style="270" customWidth="1"/>
    <col min="2" max="2" width="31.5703125" style="270" bestFit="1" customWidth="1"/>
    <col min="3" max="5" width="13.42578125" style="270" bestFit="1" customWidth="1"/>
    <col min="6" max="11" width="12.140625" style="270" bestFit="1" customWidth="1"/>
    <col min="12" max="12" width="8.28515625" style="287" bestFit="1" customWidth="1"/>
    <col min="13" max="16384" width="14.42578125" style="270"/>
  </cols>
  <sheetData>
    <row r="1" spans="1:27">
      <c r="L1" s="316"/>
      <c r="M1" s="271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69"/>
      <c r="Y1" s="269"/>
      <c r="Z1" s="269"/>
      <c r="AA1" s="269"/>
    </row>
    <row r="2" spans="1:27">
      <c r="B2" s="320" t="str">
        <f>"Revenue &amp; Expenses Forecast"</f>
        <v>Revenue &amp; Expenses Forecast</v>
      </c>
      <c r="C2" s="273"/>
      <c r="D2" s="273"/>
      <c r="E2" s="274"/>
      <c r="F2" s="274"/>
      <c r="G2" s="274"/>
      <c r="H2" s="274"/>
      <c r="I2" s="274"/>
      <c r="J2" s="274"/>
      <c r="K2" s="274"/>
      <c r="L2" s="316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69"/>
      <c r="Y2" s="269"/>
      <c r="Z2" s="269"/>
      <c r="AA2" s="269"/>
    </row>
    <row r="3" spans="1:27" ht="15.75" thickBot="1">
      <c r="B3" s="275"/>
      <c r="C3" s="275"/>
      <c r="D3" s="275"/>
      <c r="E3" s="274"/>
      <c r="F3" s="274"/>
      <c r="G3" s="274"/>
      <c r="H3" s="274"/>
      <c r="I3" s="274"/>
      <c r="J3" s="274"/>
      <c r="K3" s="274"/>
      <c r="L3" s="316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69"/>
      <c r="Y3" s="269"/>
      <c r="Z3" s="269"/>
      <c r="AA3" s="269"/>
    </row>
    <row r="4" spans="1:27">
      <c r="B4" s="276" t="str">
        <f>[1]Financials!B58</f>
        <v>(USD in millions)</v>
      </c>
      <c r="C4" s="277"/>
      <c r="D4" s="277"/>
      <c r="E4" s="278"/>
      <c r="F4" s="279"/>
      <c r="G4" s="440" t="str">
        <f>"Projections"</f>
        <v>Projections</v>
      </c>
      <c r="H4" s="441"/>
      <c r="I4" s="441"/>
      <c r="J4" s="441"/>
      <c r="K4" s="442"/>
      <c r="L4" s="316" t="s">
        <v>378</v>
      </c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69"/>
      <c r="Y4" s="269"/>
      <c r="Z4" s="269"/>
      <c r="AA4" s="269"/>
    </row>
    <row r="5" spans="1:27">
      <c r="B5" s="280"/>
      <c r="C5" s="281">
        <v>43800</v>
      </c>
      <c r="D5" s="282">
        <v>44166</v>
      </c>
      <c r="E5" s="281">
        <v>44531</v>
      </c>
      <c r="F5" s="282">
        <v>44896</v>
      </c>
      <c r="G5" s="321">
        <v>45261</v>
      </c>
      <c r="H5" s="322">
        <v>45627</v>
      </c>
      <c r="I5" s="323">
        <v>45992</v>
      </c>
      <c r="J5" s="322">
        <v>46357</v>
      </c>
      <c r="K5" s="324">
        <v>46722</v>
      </c>
      <c r="L5" s="316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69"/>
      <c r="Y5" s="269"/>
      <c r="Z5" s="269"/>
      <c r="AA5" s="269"/>
    </row>
    <row r="6" spans="1:27">
      <c r="B6" s="283"/>
      <c r="C6" s="284"/>
      <c r="E6" s="284"/>
      <c r="F6" s="285"/>
      <c r="G6" s="325"/>
      <c r="H6" s="326"/>
      <c r="I6" s="326"/>
      <c r="J6" s="326"/>
      <c r="K6" s="327"/>
      <c r="L6" s="316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69"/>
      <c r="Y6" s="269"/>
      <c r="Z6" s="269"/>
      <c r="AA6" s="269"/>
    </row>
    <row r="7" spans="1:27">
      <c r="B7" s="286" t="str">
        <f>"Revenue"</f>
        <v>Revenue</v>
      </c>
      <c r="C7" s="366">
        <f>'Appendix Statements'!N3</f>
        <v>3008652</v>
      </c>
      <c r="D7" s="367">
        <f>'Appendix Statements'!M3</f>
        <v>3085177</v>
      </c>
      <c r="E7" s="366">
        <f>'Appendix Statements'!L3</f>
        <v>3717930</v>
      </c>
      <c r="F7" s="288">
        <f>'Appendix Statements'!K3</f>
        <v>3919709</v>
      </c>
      <c r="G7" s="328">
        <f>F7*(1+G8)</f>
        <v>4037300.27</v>
      </c>
      <c r="H7" s="329">
        <f t="shared" ref="H7:K7" si="0">G7*(1+H8)</f>
        <v>4158419.2781000002</v>
      </c>
      <c r="I7" s="329">
        <f t="shared" si="0"/>
        <v>4324756.0492240004</v>
      </c>
      <c r="J7" s="329">
        <f t="shared" si="0"/>
        <v>4411251.1702084802</v>
      </c>
      <c r="K7" s="330">
        <f t="shared" si="0"/>
        <v>4631813.7287189048</v>
      </c>
      <c r="L7" s="316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69"/>
      <c r="Y7" s="269"/>
      <c r="Z7" s="269"/>
      <c r="AA7" s="269"/>
    </row>
    <row r="8" spans="1:27">
      <c r="B8" s="289" t="str">
        <f>"% Growth"</f>
        <v>% Growth</v>
      </c>
      <c r="C8" s="290"/>
      <c r="D8" s="291">
        <f>(D7-C7)/C7</f>
        <v>2.5434978854317482E-2</v>
      </c>
      <c r="E8" s="291">
        <f>(E7-D7)/D7</f>
        <v>0.20509455373224939</v>
      </c>
      <c r="F8" s="291">
        <f>(F7-E7)/E7</f>
        <v>5.4271866334223616E-2</v>
      </c>
      <c r="G8" s="331">
        <v>0.03</v>
      </c>
      <c r="H8" s="332">
        <v>0.03</v>
      </c>
      <c r="I8" s="332">
        <v>0.04</v>
      </c>
      <c r="J8" s="332">
        <v>0.02</v>
      </c>
      <c r="K8" s="333">
        <v>0.05</v>
      </c>
      <c r="L8" s="316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69"/>
      <c r="Y8" s="269"/>
      <c r="Z8" s="269"/>
      <c r="AA8" s="269"/>
    </row>
    <row r="9" spans="1:27">
      <c r="B9" s="293"/>
      <c r="C9" s="294"/>
      <c r="D9" s="287"/>
      <c r="E9" s="294"/>
      <c r="F9" s="295"/>
      <c r="G9" s="337"/>
      <c r="H9" s="338"/>
      <c r="I9" s="338"/>
      <c r="J9" s="338"/>
      <c r="K9" s="339"/>
      <c r="L9" s="316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69"/>
      <c r="Y9" s="269"/>
      <c r="Z9" s="269"/>
      <c r="AA9" s="269"/>
    </row>
    <row r="10" spans="1:27">
      <c r="B10" s="293" t="str">
        <f>"Cost of goods sold"</f>
        <v>Cost of goods sold</v>
      </c>
      <c r="C10" s="296">
        <f>'Appendix Statements'!N15</f>
        <v>-1267441</v>
      </c>
      <c r="D10" s="297">
        <f>'Appendix Statements'!M15</f>
        <v>-1284146</v>
      </c>
      <c r="E10" s="296">
        <f>'Appendix Statements'!L15</f>
        <v>-1546377</v>
      </c>
      <c r="F10" s="298">
        <f>'Appendix Statements'!K15</f>
        <v>-1611667</v>
      </c>
      <c r="G10" s="340">
        <f>-G11*G7</f>
        <v>-1673225.6515331306</v>
      </c>
      <c r="H10" s="341">
        <f>-H11*H7</f>
        <v>-1723422.4210791246</v>
      </c>
      <c r="I10" s="341">
        <f>-I11*I7</f>
        <v>-1792359.3179222897</v>
      </c>
      <c r="J10" s="341">
        <f>-J11*J7</f>
        <v>-1828206.5042807353</v>
      </c>
      <c r="K10" s="342">
        <f>-K11*K7</f>
        <v>-1919616.8294947722</v>
      </c>
      <c r="L10" s="316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69"/>
      <c r="Y10" s="269"/>
      <c r="Z10" s="269"/>
      <c r="AA10" s="269"/>
    </row>
    <row r="11" spans="1:27">
      <c r="B11" s="289" t="str">
        <f>"% of Revenue"</f>
        <v>% of Revenue</v>
      </c>
      <c r="C11" s="290"/>
      <c r="D11" s="299">
        <f>ABS(D10/D7)</f>
        <v>0.4162309002044291</v>
      </c>
      <c r="E11" s="299">
        <f>ABS(E10/E7)</f>
        <v>0.41592418361830374</v>
      </c>
      <c r="F11" s="299">
        <f>ABS(F10/F7)</f>
        <v>0.41117006390015176</v>
      </c>
      <c r="G11" s="331">
        <f>$L$11</f>
        <v>0.41444171590762818</v>
      </c>
      <c r="H11" s="332">
        <f t="shared" ref="H11:K11" si="1">$L$11</f>
        <v>0.41444171590762818</v>
      </c>
      <c r="I11" s="332">
        <f t="shared" si="1"/>
        <v>0.41444171590762818</v>
      </c>
      <c r="J11" s="332">
        <f t="shared" si="1"/>
        <v>0.41444171590762818</v>
      </c>
      <c r="K11" s="333">
        <f t="shared" si="1"/>
        <v>0.41444171590762818</v>
      </c>
      <c r="L11" s="317">
        <f>AVERAGE(D11:F11)</f>
        <v>0.41444171590762818</v>
      </c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69"/>
      <c r="Y11" s="269"/>
      <c r="Z11" s="269"/>
      <c r="AA11" s="269"/>
    </row>
    <row r="12" spans="1:27">
      <c r="A12" s="284"/>
      <c r="B12" s="283"/>
      <c r="C12" s="292"/>
      <c r="D12" s="287"/>
      <c r="E12" s="292"/>
      <c r="F12" s="287"/>
      <c r="G12" s="334"/>
      <c r="H12" s="335"/>
      <c r="I12" s="335"/>
      <c r="J12" s="335"/>
      <c r="K12" s="336"/>
      <c r="L12" s="316"/>
      <c r="M12" s="272"/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69"/>
      <c r="Y12" s="269"/>
      <c r="Z12" s="269"/>
      <c r="AA12" s="269"/>
    </row>
    <row r="13" spans="1:27">
      <c r="B13" s="293" t="str">
        <f>"Selling, G&amp;A expenses"</f>
        <v>Selling, G&amp;A expenses</v>
      </c>
      <c r="C13" s="296">
        <f>'Appendix Statements'!N16</f>
        <v>-819183</v>
      </c>
      <c r="D13" s="297">
        <f>'Appendix Statements'!M16</f>
        <v>-820221</v>
      </c>
      <c r="E13" s="296">
        <f>'Appendix Statements'!L16</f>
        <v>-943976</v>
      </c>
      <c r="F13" s="298">
        <f>'Appendix Statements'!K16</f>
        <v>-938461</v>
      </c>
      <c r="G13" s="340">
        <f>-G14*G7</f>
        <v>-1021676.5330223115</v>
      </c>
      <c r="H13" s="341">
        <f>-H14*H7</f>
        <v>-1052326.8290129809</v>
      </c>
      <c r="I13" s="341">
        <f>-I14*I7</f>
        <v>-1094419.9021735</v>
      </c>
      <c r="J13" s="341">
        <f>-J14*J7</f>
        <v>-1116308.30021697</v>
      </c>
      <c r="K13" s="342">
        <f>-K14*K7</f>
        <v>-1172123.7152278188</v>
      </c>
      <c r="L13" s="316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69"/>
      <c r="Y13" s="269"/>
      <c r="Z13" s="269"/>
      <c r="AA13" s="269"/>
    </row>
    <row r="14" spans="1:27">
      <c r="B14" s="289" t="str">
        <f>"% of Revenue"</f>
        <v>% of Revenue</v>
      </c>
      <c r="C14" s="290"/>
      <c r="D14" s="299">
        <f>ABS(D13/D7)</f>
        <v>0.26585865251815372</v>
      </c>
      <c r="E14" s="299">
        <f>ABS(E13/E7)</f>
        <v>0.25389827134991783</v>
      </c>
      <c r="F14" s="299">
        <f>ABS(F13/F7)</f>
        <v>0.23942108967783068</v>
      </c>
      <c r="G14" s="331">
        <f>$L$14</f>
        <v>0.25305933784863405</v>
      </c>
      <c r="H14" s="332">
        <f t="shared" ref="H14:K14" si="2">$L$14</f>
        <v>0.25305933784863405</v>
      </c>
      <c r="I14" s="332">
        <f t="shared" si="2"/>
        <v>0.25305933784863405</v>
      </c>
      <c r="J14" s="332">
        <f t="shared" si="2"/>
        <v>0.25305933784863405</v>
      </c>
      <c r="K14" s="333">
        <f t="shared" si="2"/>
        <v>0.25305933784863405</v>
      </c>
      <c r="L14" s="317">
        <f>AVERAGE(D14:F14)</f>
        <v>0.25305933784863405</v>
      </c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69"/>
      <c r="Y14" s="269"/>
      <c r="Z14" s="269"/>
      <c r="AA14" s="269"/>
    </row>
    <row r="15" spans="1:27">
      <c r="B15" s="283"/>
      <c r="C15" s="292"/>
      <c r="D15" s="287"/>
      <c r="E15" s="292"/>
      <c r="F15" s="287"/>
      <c r="G15" s="334"/>
      <c r="H15" s="335"/>
      <c r="I15" s="335"/>
      <c r="J15" s="335"/>
      <c r="K15" s="336"/>
      <c r="L15" s="316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69"/>
      <c r="Y15" s="269"/>
      <c r="Z15" s="269"/>
      <c r="AA15" s="269"/>
    </row>
    <row r="16" spans="1:27">
      <c r="B16" s="293" t="str">
        <f>"Other incomes/expenses"</f>
        <v>Other incomes/expenses</v>
      </c>
      <c r="C16" s="296">
        <f>'Appendix Statements'!N17</f>
        <v>-96684</v>
      </c>
      <c r="D16" s="297">
        <f>'Appendix Statements'!M17</f>
        <v>-91965</v>
      </c>
      <c r="E16" s="296">
        <f>'Appendix Statements'!L17</f>
        <v>-108450</v>
      </c>
      <c r="F16" s="298">
        <f>'Appendix Statements'!K17</f>
        <v>-121867</v>
      </c>
      <c r="G16" s="340">
        <f>G17*G7</f>
        <v>-121211.79621720989</v>
      </c>
      <c r="H16" s="341">
        <f>H17*H7</f>
        <v>-124848.15010372619</v>
      </c>
      <c r="I16" s="341">
        <f>I17*I7</f>
        <v>-129842.07610787525</v>
      </c>
      <c r="J16" s="341">
        <f>J17*J7</f>
        <v>-132438.91763003275</v>
      </c>
      <c r="K16" s="342">
        <f>K17*K7</f>
        <v>-139060.86351153441</v>
      </c>
      <c r="L16" s="316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69"/>
      <c r="Y16" s="269"/>
      <c r="Z16" s="269"/>
      <c r="AA16" s="269"/>
    </row>
    <row r="17" spans="1:27">
      <c r="A17" s="275"/>
      <c r="B17" s="289" t="str">
        <f>"% of Revenue"</f>
        <v>% of Revenue</v>
      </c>
      <c r="C17" s="290"/>
      <c r="D17" s="361">
        <f>(D16/D7)</f>
        <v>-2.9808662517580027E-2</v>
      </c>
      <c r="E17" s="361">
        <f>(E16/E7)</f>
        <v>-2.9169457197956928E-2</v>
      </c>
      <c r="F17" s="361">
        <f>(F16/F7)</f>
        <v>-3.109082842629389E-2</v>
      </c>
      <c r="G17" s="362">
        <f>$L$17</f>
        <v>-3.0022982713943616E-2</v>
      </c>
      <c r="H17" s="363">
        <f t="shared" ref="H17:K17" si="3">$L$17</f>
        <v>-3.0022982713943616E-2</v>
      </c>
      <c r="I17" s="363">
        <f t="shared" si="3"/>
        <v>-3.0022982713943616E-2</v>
      </c>
      <c r="J17" s="363">
        <f t="shared" si="3"/>
        <v>-3.0022982713943616E-2</v>
      </c>
      <c r="K17" s="364">
        <f t="shared" si="3"/>
        <v>-3.0022982713943616E-2</v>
      </c>
      <c r="L17" s="365">
        <f>AVERAGE(D17:F17)</f>
        <v>-3.0022982713943616E-2</v>
      </c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69"/>
      <c r="Y17" s="269"/>
      <c r="Z17" s="269"/>
      <c r="AA17" s="269"/>
    </row>
    <row r="18" spans="1:27">
      <c r="B18" s="301"/>
      <c r="C18" s="287"/>
      <c r="D18" s="287"/>
      <c r="E18" s="287"/>
      <c r="F18" s="287"/>
      <c r="G18" s="334"/>
      <c r="H18" s="335"/>
      <c r="I18" s="335"/>
      <c r="J18" s="335"/>
      <c r="K18" s="336"/>
      <c r="L18" s="316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69"/>
      <c r="Y18" s="269"/>
      <c r="Z18" s="269"/>
      <c r="AA18" s="269"/>
    </row>
    <row r="19" spans="1:27">
      <c r="B19" s="293" t="s">
        <v>169</v>
      </c>
      <c r="C19" s="355">
        <f>-'Standardized Income Statement'!B7</f>
        <v>-177122</v>
      </c>
      <c r="D19" s="355">
        <f>-'Standardized Income Statement'!C7</f>
        <v>-169766</v>
      </c>
      <c r="E19" s="355">
        <f>-'Standardized Income Statement'!D7</f>
        <v>-140102</v>
      </c>
      <c r="F19" s="355">
        <f>-'Standardized Income Statement'!E7</f>
        <v>-143950</v>
      </c>
      <c r="G19" s="356">
        <f>-G7*G20</f>
        <v>-174187.70804944422</v>
      </c>
      <c r="H19" s="357">
        <f>-H7*H20</f>
        <v>-179413.33929092757</v>
      </c>
      <c r="I19" s="357">
        <f>-I7*I20</f>
        <v>-186589.87286256469</v>
      </c>
      <c r="J19" s="357">
        <f>-J7*J20</f>
        <v>-190321.67031981595</v>
      </c>
      <c r="K19" s="358">
        <f>-K7*K20</f>
        <v>-199837.7538358068</v>
      </c>
      <c r="L19" s="316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69"/>
      <c r="Y19" s="269"/>
      <c r="Z19" s="269"/>
      <c r="AA19" s="269"/>
    </row>
    <row r="20" spans="1:27">
      <c r="B20" s="289" t="str">
        <f>"% of Revenue"</f>
        <v>% of Revenue</v>
      </c>
      <c r="C20" s="290"/>
      <c r="D20" s="300">
        <f>ABS(D19/D7)</f>
        <v>5.5026340466041331E-2</v>
      </c>
      <c r="E20" s="300">
        <f>ABS(E19/E7)</f>
        <v>3.7682796609941553E-2</v>
      </c>
      <c r="F20" s="300">
        <f>ABS(F19/F7)</f>
        <v>3.6724665019775705E-2</v>
      </c>
      <c r="G20" s="343">
        <f>$L$20</f>
        <v>4.3144600698586194E-2</v>
      </c>
      <c r="H20" s="344">
        <f t="shared" ref="H20:K20" si="4">$L$20</f>
        <v>4.3144600698586194E-2</v>
      </c>
      <c r="I20" s="344">
        <f t="shared" si="4"/>
        <v>4.3144600698586194E-2</v>
      </c>
      <c r="J20" s="344">
        <f t="shared" si="4"/>
        <v>4.3144600698586194E-2</v>
      </c>
      <c r="K20" s="345">
        <f t="shared" si="4"/>
        <v>4.3144600698586194E-2</v>
      </c>
      <c r="L20" s="318">
        <f>AVERAGE(D20:F20)</f>
        <v>4.3144600698586194E-2</v>
      </c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69"/>
      <c r="Y20" s="269"/>
      <c r="Z20" s="269"/>
      <c r="AA20" s="269"/>
    </row>
    <row r="21" spans="1:27">
      <c r="B21" s="301"/>
      <c r="C21" s="287"/>
      <c r="D21" s="287"/>
      <c r="E21" s="287"/>
      <c r="F21" s="287"/>
      <c r="G21" s="334"/>
      <c r="H21" s="335"/>
      <c r="I21" s="335"/>
      <c r="J21" s="335"/>
      <c r="K21" s="336"/>
      <c r="L21" s="316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69"/>
      <c r="Y21" s="269"/>
      <c r="Z21" s="269"/>
      <c r="AA21" s="269"/>
    </row>
    <row r="22" spans="1:27">
      <c r="B22" s="293" t="str">
        <f>"Tax expense"</f>
        <v>Tax expense</v>
      </c>
      <c r="C22" s="355">
        <f>-'Standardized Income Statement'!B9</f>
        <v>-198090</v>
      </c>
      <c r="D22" s="355">
        <f>-'Standardized Income Statement'!C9</f>
        <v>-180376</v>
      </c>
      <c r="E22" s="355">
        <f>-'Standardized Income Statement'!D9</f>
        <v>-146004</v>
      </c>
      <c r="F22" s="355">
        <f>-'Standardized Income Statement'!E9</f>
        <v>-120285</v>
      </c>
      <c r="G22" s="340">
        <f>-(G7+G10+G13+G16+G19)*G23</f>
        <v>-198938.30188629232</v>
      </c>
      <c r="H22" s="341">
        <f>-(H7+H10+H13+H16+H19)*H23</f>
        <v>-204906.45094288106</v>
      </c>
      <c r="I22" s="341">
        <f>-(I7+I10+I13+I16+I19)*I23</f>
        <v>-213102.70898059645</v>
      </c>
      <c r="J22" s="341">
        <f>-(J7+J10+J13+J16+J19)*J23</f>
        <v>-217364.76316020836</v>
      </c>
      <c r="K22" s="342">
        <f>-(K7+K10+K13+K16+K19)*K23</f>
        <v>-228233.00131821868</v>
      </c>
      <c r="L22" s="316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69"/>
      <c r="Y22" s="269"/>
      <c r="Z22" s="269"/>
      <c r="AA22" s="269"/>
    </row>
    <row r="23" spans="1:27">
      <c r="B23" s="289" t="str">
        <f>"Tax rate"</f>
        <v>Tax rate</v>
      </c>
      <c r="C23" s="290"/>
      <c r="D23" s="291">
        <f>'Appendix Statements'!M9/'Appendix Statements'!M8</f>
        <v>0.19499881801899985</v>
      </c>
      <c r="E23" s="291">
        <f>'Appendix Statements'!L9/'Appendix Statements'!L8</f>
        <v>0.18999727184917012</v>
      </c>
      <c r="F23" s="291">
        <f>'Appendix Statements'!K9/'Appendix Statements'!K8</f>
        <v>0.18502847022955524</v>
      </c>
      <c r="G23" s="331">
        <f>$L$23</f>
        <v>0.19000818669924172</v>
      </c>
      <c r="H23" s="332">
        <f t="shared" ref="H23:K23" si="5">$L$23</f>
        <v>0.19000818669924172</v>
      </c>
      <c r="I23" s="332">
        <f t="shared" si="5"/>
        <v>0.19000818669924172</v>
      </c>
      <c r="J23" s="332">
        <f t="shared" si="5"/>
        <v>0.19000818669924172</v>
      </c>
      <c r="K23" s="333">
        <f t="shared" si="5"/>
        <v>0.19000818669924172</v>
      </c>
      <c r="L23" s="318">
        <f>AVERAGE(D23:F23)</f>
        <v>0.19000818669924172</v>
      </c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69"/>
      <c r="Y23" s="269"/>
      <c r="Z23" s="269"/>
      <c r="AA23" s="269"/>
    </row>
    <row r="24" spans="1:27">
      <c r="B24" s="283"/>
      <c r="C24" s="292"/>
      <c r="D24" s="287"/>
      <c r="E24" s="292"/>
      <c r="F24" s="287"/>
      <c r="G24" s="334"/>
      <c r="H24" s="335"/>
      <c r="I24" s="335"/>
      <c r="J24" s="335"/>
      <c r="K24" s="336"/>
      <c r="L24" s="316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69"/>
      <c r="Y24" s="269"/>
      <c r="Z24" s="269"/>
      <c r="AA24" s="269"/>
    </row>
    <row r="25" spans="1:27">
      <c r="B25" s="302" t="str">
        <f>"Net profit"</f>
        <v>Net profit</v>
      </c>
      <c r="C25" s="303">
        <f>C7+C10+C13+B1+C16+C22+C19</f>
        <v>450132</v>
      </c>
      <c r="D25" s="303">
        <f>D7+D10+D13+C1+D16+D22+D19</f>
        <v>538703</v>
      </c>
      <c r="E25" s="303">
        <f>E7+E10+E13+D1+E16+E22+E19</f>
        <v>833021</v>
      </c>
      <c r="F25" s="303">
        <f>F10+F13+E1+F16+F22+F19+F7</f>
        <v>983479</v>
      </c>
      <c r="G25" s="346">
        <f>G7+G10+G13+G16+G22+G19</f>
        <v>848060.27929161151</v>
      </c>
      <c r="H25" s="347">
        <f>H7+H10+H13+H16+H22+H19</f>
        <v>873502.08767035976</v>
      </c>
      <c r="I25" s="347">
        <f>I7+I10+I13+I16+I22+I19</f>
        <v>908442.17117717466</v>
      </c>
      <c r="J25" s="347">
        <f>J7+J10+J13+J16+J22+J19</f>
        <v>926611.01460071804</v>
      </c>
      <c r="K25" s="348">
        <f>K7+K10+K13+K16+K22+K19</f>
        <v>972941.56533075357</v>
      </c>
      <c r="L25" s="316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69"/>
      <c r="Y25" s="269"/>
      <c r="Z25" s="269"/>
      <c r="AA25" s="269"/>
    </row>
    <row r="26" spans="1:27">
      <c r="B26" s="304" t="str">
        <f>"% Margin"</f>
        <v>% Margin</v>
      </c>
      <c r="C26" s="305"/>
      <c r="D26" s="306">
        <f>D25/D7</f>
        <v>0.17461007909756879</v>
      </c>
      <c r="E26" s="306">
        <f>E25/E7</f>
        <v>0.22405505213922802</v>
      </c>
      <c r="F26" s="306">
        <f>F25/F7</f>
        <v>0.25090612593945111</v>
      </c>
      <c r="G26" s="349">
        <f>$L$26</f>
        <v>0.21652375239208266</v>
      </c>
      <c r="H26" s="350">
        <f t="shared" ref="H26:K26" si="6">$L$26</f>
        <v>0.21652375239208266</v>
      </c>
      <c r="I26" s="350">
        <f t="shared" si="6"/>
        <v>0.21652375239208266</v>
      </c>
      <c r="J26" s="350">
        <f t="shared" si="6"/>
        <v>0.21652375239208266</v>
      </c>
      <c r="K26" s="351">
        <f t="shared" si="6"/>
        <v>0.21652375239208266</v>
      </c>
      <c r="L26" s="318">
        <f>AVERAGE(D26:F26)</f>
        <v>0.21652375239208266</v>
      </c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69"/>
      <c r="Y26" s="269"/>
      <c r="Z26" s="269"/>
      <c r="AA26" s="269"/>
    </row>
    <row r="27" spans="1:27" ht="15.75" thickBot="1">
      <c r="A27" s="307"/>
      <c r="B27" s="308"/>
      <c r="C27" s="309"/>
      <c r="D27" s="310"/>
      <c r="E27" s="311"/>
      <c r="F27" s="311"/>
      <c r="G27" s="352"/>
      <c r="H27" s="353"/>
      <c r="I27" s="353"/>
      <c r="J27" s="353"/>
      <c r="K27" s="354"/>
      <c r="L27" s="316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68"/>
      <c r="Y27" s="268"/>
      <c r="Z27" s="268"/>
      <c r="AA27" s="268"/>
    </row>
    <row r="28" spans="1:27">
      <c r="A28" s="307"/>
      <c r="B28" s="307"/>
      <c r="C28" s="307"/>
      <c r="D28" s="307"/>
      <c r="E28" s="312"/>
      <c r="F28" s="312"/>
      <c r="G28" s="312"/>
      <c r="H28" s="312"/>
      <c r="I28" s="312"/>
      <c r="J28" s="312"/>
      <c r="K28" s="312"/>
      <c r="L28" s="316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68"/>
      <c r="Y28" s="268"/>
      <c r="Z28" s="268"/>
      <c r="AA28" s="268"/>
    </row>
    <row r="29" spans="1:27">
      <c r="A29" s="307"/>
      <c r="B29" s="313"/>
      <c r="C29" s="313"/>
      <c r="D29" s="313"/>
      <c r="E29" s="312"/>
      <c r="F29" s="312"/>
      <c r="G29" s="312"/>
      <c r="H29" s="312"/>
      <c r="I29" s="312"/>
      <c r="J29" s="312"/>
      <c r="K29" s="312"/>
      <c r="L29" s="316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68"/>
      <c r="Y29" s="268"/>
      <c r="Z29" s="268"/>
      <c r="AA29" s="268"/>
    </row>
    <row r="30" spans="1:27">
      <c r="A30" s="307"/>
      <c r="B30" s="313"/>
      <c r="C30" s="313"/>
      <c r="D30" s="313"/>
      <c r="E30" s="312"/>
      <c r="F30" s="312"/>
      <c r="G30" s="312"/>
      <c r="H30" s="312"/>
      <c r="I30" s="312"/>
      <c r="J30" s="312"/>
      <c r="K30" s="312"/>
      <c r="L30" s="316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68"/>
      <c r="Y30" s="268"/>
      <c r="Z30" s="268"/>
      <c r="AA30" s="268"/>
    </row>
    <row r="31" spans="1:27">
      <c r="A31" s="307"/>
      <c r="B31" s="313"/>
      <c r="C31" s="313"/>
      <c r="D31" s="313"/>
      <c r="E31" s="312"/>
      <c r="F31" s="312"/>
      <c r="G31" s="314"/>
      <c r="H31" s="312"/>
      <c r="I31" s="312"/>
      <c r="J31" s="312"/>
      <c r="K31" s="312"/>
      <c r="L31" s="316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68"/>
      <c r="Y31" s="268"/>
      <c r="Z31" s="268"/>
      <c r="AA31" s="268"/>
    </row>
    <row r="32" spans="1:27">
      <c r="A32" s="307"/>
      <c r="B32" s="307"/>
      <c r="C32" s="307"/>
      <c r="D32" s="307"/>
      <c r="E32" s="312"/>
      <c r="F32" s="312"/>
      <c r="G32" s="312"/>
      <c r="H32" s="312"/>
      <c r="I32" s="312"/>
      <c r="J32" s="312"/>
      <c r="K32" s="312"/>
      <c r="L32" s="316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68"/>
      <c r="Y32" s="268"/>
      <c r="Z32" s="268"/>
      <c r="AA32" s="268"/>
    </row>
    <row r="33" spans="1:27">
      <c r="A33" s="307"/>
      <c r="B33" s="307"/>
      <c r="C33" s="307"/>
      <c r="D33" s="307"/>
      <c r="E33" s="312"/>
      <c r="F33" s="312"/>
      <c r="G33" s="312"/>
      <c r="H33" s="312"/>
      <c r="I33" s="312"/>
      <c r="J33" s="312"/>
      <c r="K33" s="312"/>
      <c r="L33" s="316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68"/>
      <c r="Y33" s="268"/>
      <c r="Z33" s="268"/>
      <c r="AA33" s="268"/>
    </row>
    <row r="34" spans="1:27">
      <c r="A34" s="307"/>
      <c r="B34" s="307"/>
      <c r="C34" s="307"/>
      <c r="D34" s="307"/>
      <c r="E34" s="312"/>
      <c r="F34" s="312"/>
      <c r="G34" s="312"/>
      <c r="H34" s="312"/>
      <c r="I34" s="312"/>
      <c r="J34" s="312"/>
      <c r="K34" s="312"/>
      <c r="L34" s="316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307"/>
      <c r="Y34" s="307"/>
      <c r="Z34" s="307"/>
      <c r="AA34" s="307"/>
    </row>
    <row r="35" spans="1:27">
      <c r="A35" s="307"/>
      <c r="B35" s="307"/>
      <c r="C35" s="307"/>
      <c r="D35" s="307"/>
      <c r="E35" s="312"/>
      <c r="F35" s="312"/>
      <c r="G35" s="312"/>
      <c r="H35" s="312"/>
      <c r="I35" s="312"/>
      <c r="J35" s="312"/>
      <c r="K35" s="312"/>
      <c r="L35" s="316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307"/>
      <c r="Y35" s="307"/>
      <c r="Z35" s="307"/>
      <c r="AA35" s="307"/>
    </row>
    <row r="36" spans="1:27">
      <c r="A36" s="307"/>
      <c r="B36" s="307"/>
      <c r="C36" s="307"/>
      <c r="D36" s="307"/>
      <c r="E36" s="312"/>
      <c r="F36" s="312"/>
      <c r="G36" s="312"/>
      <c r="H36" s="312"/>
      <c r="I36" s="312"/>
      <c r="J36" s="312"/>
      <c r="K36" s="312"/>
      <c r="L36" s="316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307"/>
      <c r="Y36" s="307"/>
      <c r="Z36" s="307"/>
      <c r="AA36" s="307"/>
    </row>
    <row r="37" spans="1:27">
      <c r="A37" s="307"/>
      <c r="B37" s="307"/>
      <c r="C37" s="307"/>
      <c r="D37" s="307"/>
      <c r="E37" s="312"/>
      <c r="F37" s="312"/>
      <c r="G37" s="312"/>
      <c r="H37" s="312"/>
      <c r="I37" s="312"/>
      <c r="J37" s="312"/>
      <c r="K37" s="312"/>
      <c r="L37" s="316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307"/>
      <c r="Y37" s="307"/>
      <c r="Z37" s="307"/>
      <c r="AA37" s="307"/>
    </row>
    <row r="38" spans="1:27">
      <c r="A38" s="307"/>
      <c r="B38" s="307"/>
      <c r="C38" s="307"/>
      <c r="D38" s="307"/>
      <c r="E38" s="312"/>
      <c r="F38" s="312"/>
      <c r="G38" s="312"/>
      <c r="H38" s="312"/>
      <c r="I38" s="312"/>
      <c r="J38" s="312"/>
      <c r="K38" s="312"/>
      <c r="L38" s="316"/>
      <c r="M38" s="272"/>
      <c r="N38" s="272"/>
      <c r="O38" s="272"/>
      <c r="P38" s="272"/>
      <c r="Q38" s="272"/>
      <c r="R38" s="272"/>
      <c r="S38" s="272"/>
      <c r="T38" s="272"/>
      <c r="U38" s="272"/>
      <c r="V38" s="272"/>
      <c r="W38" s="272"/>
      <c r="X38" s="307"/>
      <c r="Y38" s="307"/>
      <c r="Z38" s="307"/>
      <c r="AA38" s="307"/>
    </row>
    <row r="39" spans="1:27">
      <c r="A39" s="307"/>
      <c r="B39" s="307"/>
      <c r="C39" s="307"/>
      <c r="D39" s="307"/>
      <c r="E39" s="312"/>
      <c r="F39" s="312"/>
      <c r="G39" s="312"/>
      <c r="H39" s="312"/>
      <c r="I39" s="312"/>
      <c r="J39" s="312"/>
      <c r="K39" s="312"/>
      <c r="L39" s="316"/>
      <c r="M39" s="272"/>
      <c r="N39" s="272"/>
      <c r="O39" s="272"/>
      <c r="P39" s="272"/>
      <c r="Q39" s="272"/>
      <c r="R39" s="272"/>
      <c r="S39" s="272"/>
      <c r="T39" s="272"/>
      <c r="U39" s="272"/>
      <c r="V39" s="272"/>
      <c r="W39" s="272"/>
      <c r="X39" s="307"/>
      <c r="Y39" s="307"/>
      <c r="Z39" s="307"/>
      <c r="AA39" s="307"/>
    </row>
    <row r="40" spans="1:27">
      <c r="A40" s="307"/>
      <c r="B40" s="307"/>
      <c r="C40" s="307"/>
      <c r="D40" s="307"/>
      <c r="E40" s="312"/>
      <c r="F40" s="312"/>
      <c r="G40" s="312"/>
      <c r="H40" s="312"/>
      <c r="I40" s="312"/>
      <c r="J40" s="312"/>
      <c r="K40" s="312"/>
      <c r="L40" s="316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307"/>
      <c r="Y40" s="307"/>
      <c r="Z40" s="307"/>
      <c r="AA40" s="307"/>
    </row>
    <row r="41" spans="1:27">
      <c r="A41" s="307"/>
      <c r="B41" s="307"/>
      <c r="C41" s="307"/>
      <c r="D41" s="307"/>
      <c r="E41" s="312"/>
      <c r="F41" s="312"/>
      <c r="G41" s="312"/>
      <c r="H41" s="312"/>
      <c r="I41" s="312"/>
      <c r="J41" s="312"/>
      <c r="K41" s="312"/>
      <c r="L41" s="316"/>
      <c r="M41" s="272"/>
      <c r="N41" s="272"/>
      <c r="O41" s="272"/>
      <c r="P41" s="272"/>
      <c r="Q41" s="272"/>
      <c r="R41" s="272"/>
      <c r="S41" s="272"/>
      <c r="T41" s="272"/>
      <c r="U41" s="272"/>
      <c r="V41" s="272"/>
      <c r="W41" s="272"/>
      <c r="X41" s="307"/>
      <c r="Y41" s="307"/>
      <c r="Z41" s="307"/>
      <c r="AA41" s="307"/>
    </row>
    <row r="42" spans="1:27">
      <c r="A42" s="307"/>
      <c r="B42" s="307"/>
      <c r="C42" s="307"/>
      <c r="D42" s="307"/>
      <c r="E42" s="312"/>
      <c r="F42" s="312"/>
      <c r="G42" s="312"/>
      <c r="H42" s="312"/>
      <c r="I42" s="312"/>
      <c r="J42" s="312"/>
      <c r="K42" s="312"/>
      <c r="L42" s="316"/>
      <c r="M42" s="272"/>
      <c r="N42" s="272"/>
      <c r="O42" s="272"/>
      <c r="P42" s="272"/>
      <c r="Q42" s="272"/>
      <c r="R42" s="272"/>
      <c r="S42" s="272"/>
      <c r="T42" s="272"/>
      <c r="U42" s="272"/>
      <c r="V42" s="272"/>
      <c r="W42" s="272"/>
      <c r="X42" s="307"/>
      <c r="Y42" s="307"/>
      <c r="Z42" s="307"/>
      <c r="AA42" s="307"/>
    </row>
    <row r="43" spans="1:27">
      <c r="A43" s="307"/>
      <c r="B43" s="307"/>
      <c r="C43" s="307"/>
      <c r="D43" s="307"/>
      <c r="E43" s="312"/>
      <c r="F43" s="312"/>
      <c r="G43" s="312"/>
      <c r="H43" s="312"/>
      <c r="I43" s="312"/>
      <c r="J43" s="312"/>
      <c r="K43" s="312"/>
      <c r="L43" s="316"/>
      <c r="M43" s="272"/>
      <c r="N43" s="272"/>
      <c r="O43" s="272"/>
      <c r="P43" s="272"/>
      <c r="Q43" s="272"/>
      <c r="R43" s="272"/>
      <c r="S43" s="272"/>
      <c r="T43" s="272"/>
      <c r="U43" s="272"/>
      <c r="V43" s="272"/>
      <c r="W43" s="272"/>
      <c r="X43" s="307"/>
      <c r="Y43" s="307"/>
      <c r="Z43" s="307"/>
      <c r="AA43" s="307"/>
    </row>
    <row r="44" spans="1:27">
      <c r="A44" s="307"/>
      <c r="B44" s="307"/>
      <c r="C44" s="307"/>
      <c r="D44" s="307"/>
      <c r="E44" s="312"/>
      <c r="F44" s="312"/>
      <c r="G44" s="312"/>
      <c r="H44" s="312"/>
      <c r="I44" s="312"/>
      <c r="J44" s="312"/>
      <c r="K44" s="312"/>
      <c r="L44" s="316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307"/>
      <c r="Y44" s="307"/>
      <c r="Z44" s="307"/>
      <c r="AA44" s="307"/>
    </row>
    <row r="45" spans="1:27">
      <c r="A45" s="307"/>
      <c r="B45" s="307"/>
      <c r="C45" s="307"/>
      <c r="D45" s="307"/>
      <c r="E45" s="312"/>
      <c r="F45" s="312"/>
      <c r="G45" s="312"/>
      <c r="H45" s="312"/>
      <c r="I45" s="312"/>
      <c r="J45" s="312"/>
      <c r="K45" s="312"/>
      <c r="L45" s="319"/>
      <c r="M45" s="272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</row>
    <row r="46" spans="1:27">
      <c r="A46" s="307"/>
      <c r="B46" s="307"/>
      <c r="C46" s="307"/>
      <c r="D46" s="307"/>
      <c r="E46" s="312"/>
      <c r="F46" s="312"/>
      <c r="G46" s="312"/>
      <c r="H46" s="312"/>
      <c r="I46" s="312"/>
      <c r="J46" s="312"/>
      <c r="K46" s="312"/>
      <c r="L46" s="319"/>
      <c r="M46" s="272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</row>
    <row r="47" spans="1:27">
      <c r="A47" s="307"/>
      <c r="B47" s="307"/>
      <c r="C47" s="307"/>
      <c r="D47" s="307"/>
      <c r="E47" s="312"/>
      <c r="F47" s="312"/>
      <c r="G47" s="312"/>
      <c r="H47" s="312"/>
      <c r="I47" s="312"/>
      <c r="J47" s="312"/>
      <c r="K47" s="312"/>
      <c r="L47" s="319"/>
      <c r="M47" s="272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</row>
    <row r="48" spans="1:27">
      <c r="A48" s="307"/>
      <c r="B48" s="307"/>
      <c r="C48" s="307"/>
      <c r="D48" s="307"/>
      <c r="E48" s="312"/>
      <c r="F48" s="312"/>
      <c r="G48" s="312"/>
      <c r="H48" s="312"/>
      <c r="I48" s="312"/>
      <c r="J48" s="312"/>
      <c r="K48" s="312"/>
      <c r="L48" s="319"/>
      <c r="M48" s="272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  <c r="AA48" s="307"/>
    </row>
    <row r="49" spans="1:27">
      <c r="A49" s="307"/>
      <c r="B49" s="307"/>
      <c r="C49" s="307"/>
      <c r="D49" s="307"/>
      <c r="E49" s="312"/>
      <c r="F49" s="312"/>
      <c r="G49" s="312"/>
      <c r="H49" s="312"/>
      <c r="I49" s="312"/>
      <c r="J49" s="312"/>
      <c r="K49" s="312"/>
      <c r="L49" s="319"/>
      <c r="M49" s="272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  <c r="AA49" s="307"/>
    </row>
    <row r="50" spans="1:27">
      <c r="A50" s="307"/>
      <c r="B50" s="307"/>
      <c r="C50" s="307"/>
      <c r="D50" s="307"/>
      <c r="E50" s="312"/>
      <c r="F50" s="312"/>
      <c r="G50" s="312"/>
      <c r="H50" s="312"/>
      <c r="I50" s="312"/>
      <c r="J50" s="312"/>
      <c r="K50" s="312"/>
      <c r="L50" s="319"/>
      <c r="M50" s="272"/>
      <c r="N50" s="307"/>
      <c r="O50" s="307"/>
      <c r="P50" s="307"/>
      <c r="Q50" s="307"/>
      <c r="R50" s="307"/>
      <c r="S50" s="307"/>
      <c r="T50" s="307"/>
      <c r="U50" s="307"/>
      <c r="V50" s="307"/>
      <c r="W50" s="307"/>
      <c r="X50" s="307"/>
      <c r="Y50" s="307"/>
      <c r="Z50" s="307"/>
      <c r="AA50" s="307"/>
    </row>
    <row r="51" spans="1:27">
      <c r="A51" s="307"/>
      <c r="B51" s="307"/>
      <c r="C51" s="307"/>
      <c r="D51" s="307"/>
      <c r="E51" s="312"/>
      <c r="F51" s="312"/>
      <c r="G51" s="312"/>
      <c r="H51" s="312"/>
      <c r="I51" s="312"/>
      <c r="J51" s="312"/>
      <c r="K51" s="312"/>
      <c r="L51" s="319"/>
      <c r="M51" s="272"/>
      <c r="N51" s="307"/>
      <c r="O51" s="307"/>
      <c r="P51" s="307"/>
      <c r="Q51" s="307"/>
      <c r="R51" s="307"/>
      <c r="S51" s="307"/>
      <c r="T51" s="307"/>
      <c r="U51" s="307"/>
      <c r="V51" s="307"/>
      <c r="W51" s="307"/>
      <c r="X51" s="307"/>
      <c r="Y51" s="307"/>
      <c r="Z51" s="307"/>
      <c r="AA51" s="307"/>
    </row>
    <row r="52" spans="1:27">
      <c r="A52" s="307"/>
      <c r="B52" s="307"/>
      <c r="C52" s="307"/>
      <c r="D52" s="307"/>
      <c r="E52" s="312"/>
      <c r="F52" s="312"/>
      <c r="G52" s="312"/>
      <c r="H52" s="312"/>
      <c r="I52" s="312"/>
      <c r="J52" s="312"/>
      <c r="K52" s="312"/>
      <c r="L52" s="319"/>
      <c r="M52" s="272"/>
      <c r="N52" s="307"/>
      <c r="O52" s="307"/>
      <c r="P52" s="307"/>
      <c r="Q52" s="307"/>
      <c r="R52" s="307"/>
      <c r="S52" s="307"/>
      <c r="T52" s="307"/>
      <c r="U52" s="307"/>
      <c r="V52" s="307"/>
      <c r="W52" s="307"/>
      <c r="X52" s="307"/>
      <c r="Y52" s="307"/>
      <c r="Z52" s="307"/>
      <c r="AA52" s="307"/>
    </row>
    <row r="53" spans="1:27">
      <c r="A53" s="307"/>
      <c r="B53" s="307"/>
      <c r="C53" s="307"/>
      <c r="D53" s="307"/>
      <c r="E53" s="312"/>
      <c r="F53" s="312"/>
      <c r="G53" s="312"/>
      <c r="H53" s="312"/>
      <c r="I53" s="312"/>
      <c r="J53" s="312"/>
      <c r="K53" s="312"/>
      <c r="L53" s="319"/>
      <c r="M53" s="272"/>
      <c r="N53" s="307"/>
      <c r="O53" s="307"/>
      <c r="P53" s="307"/>
      <c r="Q53" s="307"/>
      <c r="R53" s="307"/>
      <c r="S53" s="307"/>
      <c r="T53" s="307"/>
      <c r="U53" s="307"/>
      <c r="V53" s="307"/>
      <c r="W53" s="307"/>
      <c r="X53" s="307"/>
      <c r="Y53" s="307"/>
      <c r="Z53" s="307"/>
      <c r="AA53" s="307"/>
    </row>
    <row r="54" spans="1:27">
      <c r="A54" s="307"/>
      <c r="B54" s="307"/>
      <c r="C54" s="307"/>
      <c r="D54" s="307"/>
      <c r="E54" s="312"/>
      <c r="F54" s="312"/>
      <c r="G54" s="312"/>
      <c r="H54" s="312"/>
      <c r="I54" s="312"/>
      <c r="J54" s="312"/>
      <c r="K54" s="312"/>
      <c r="L54" s="319"/>
      <c r="M54" s="272"/>
      <c r="N54" s="307"/>
      <c r="O54" s="307"/>
      <c r="P54" s="307"/>
      <c r="Q54" s="307"/>
      <c r="R54" s="307"/>
      <c r="S54" s="307"/>
      <c r="T54" s="307"/>
      <c r="U54" s="307"/>
      <c r="V54" s="307"/>
      <c r="W54" s="307"/>
      <c r="X54" s="307"/>
      <c r="Y54" s="307"/>
      <c r="Z54" s="307"/>
      <c r="AA54" s="307"/>
    </row>
    <row r="55" spans="1:27">
      <c r="A55" s="307"/>
      <c r="B55" s="307"/>
      <c r="C55" s="307"/>
      <c r="D55" s="307"/>
      <c r="E55" s="312"/>
      <c r="F55" s="312"/>
      <c r="G55" s="312"/>
      <c r="H55" s="312"/>
      <c r="I55" s="312"/>
      <c r="J55" s="312"/>
      <c r="K55" s="312"/>
      <c r="L55" s="319"/>
      <c r="M55" s="272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</row>
    <row r="56" spans="1:27">
      <c r="A56" s="307"/>
      <c r="B56" s="307"/>
      <c r="C56" s="307"/>
      <c r="D56" s="307"/>
      <c r="E56" s="312"/>
      <c r="F56" s="312"/>
      <c r="G56" s="312"/>
      <c r="H56" s="312"/>
      <c r="I56" s="312"/>
      <c r="J56" s="312"/>
      <c r="K56" s="312"/>
      <c r="L56" s="319"/>
      <c r="M56" s="272"/>
      <c r="N56" s="307"/>
      <c r="O56" s="307"/>
      <c r="P56" s="307"/>
      <c r="Q56" s="307"/>
      <c r="R56" s="307"/>
      <c r="S56" s="307"/>
      <c r="T56" s="307"/>
      <c r="U56" s="307"/>
      <c r="V56" s="307"/>
      <c r="W56" s="307"/>
      <c r="X56" s="307"/>
      <c r="Y56" s="307"/>
      <c r="Z56" s="307"/>
      <c r="AA56" s="307"/>
    </row>
    <row r="57" spans="1:27">
      <c r="A57" s="307"/>
      <c r="B57" s="307"/>
      <c r="C57" s="307"/>
      <c r="D57" s="307"/>
      <c r="E57" s="312"/>
      <c r="F57" s="312"/>
      <c r="G57" s="312"/>
      <c r="H57" s="312"/>
      <c r="I57" s="312"/>
      <c r="J57" s="312"/>
      <c r="K57" s="312"/>
      <c r="L57" s="319"/>
      <c r="M57" s="272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  <c r="AA57" s="307"/>
    </row>
    <row r="58" spans="1:27">
      <c r="A58" s="307"/>
      <c r="B58" s="307"/>
      <c r="C58" s="307"/>
      <c r="D58" s="307"/>
      <c r="E58" s="312"/>
      <c r="F58" s="312"/>
      <c r="G58" s="312"/>
      <c r="H58" s="312"/>
      <c r="I58" s="312"/>
      <c r="J58" s="312"/>
      <c r="K58" s="312"/>
      <c r="L58" s="319"/>
      <c r="M58" s="272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07"/>
      <c r="Z58" s="307"/>
      <c r="AA58" s="307"/>
    </row>
    <row r="59" spans="1:27">
      <c r="A59" s="307"/>
      <c r="B59" s="307"/>
      <c r="C59" s="307"/>
      <c r="D59" s="307"/>
      <c r="E59" s="312"/>
      <c r="F59" s="312"/>
      <c r="G59" s="312"/>
      <c r="H59" s="312"/>
      <c r="I59" s="312"/>
      <c r="J59" s="312"/>
      <c r="K59" s="312"/>
      <c r="L59" s="319"/>
      <c r="M59" s="272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</row>
    <row r="60" spans="1:27">
      <c r="A60" s="307"/>
      <c r="B60" s="307"/>
      <c r="C60" s="307"/>
      <c r="D60" s="307"/>
      <c r="E60" s="312"/>
      <c r="F60" s="312"/>
      <c r="G60" s="312"/>
      <c r="H60" s="312"/>
      <c r="I60" s="312"/>
      <c r="J60" s="312"/>
      <c r="K60" s="312"/>
      <c r="L60" s="319"/>
      <c r="M60" s="272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307"/>
      <c r="AA60" s="307"/>
    </row>
    <row r="61" spans="1:27">
      <c r="A61" s="307"/>
      <c r="B61" s="307"/>
      <c r="C61" s="307"/>
      <c r="D61" s="307"/>
      <c r="E61" s="312"/>
      <c r="F61" s="312"/>
      <c r="G61" s="312"/>
      <c r="H61" s="312"/>
      <c r="I61" s="312"/>
      <c r="J61" s="312"/>
      <c r="K61" s="312"/>
      <c r="L61" s="319"/>
      <c r="M61" s="272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  <c r="AA61" s="307"/>
    </row>
    <row r="62" spans="1:27">
      <c r="E62" s="315"/>
      <c r="F62" s="315"/>
      <c r="G62" s="315"/>
      <c r="H62" s="315"/>
      <c r="I62" s="315"/>
      <c r="J62" s="315"/>
      <c r="K62" s="315"/>
      <c r="L62" s="319"/>
      <c r="M62" s="272"/>
    </row>
    <row r="63" spans="1:27">
      <c r="E63" s="315"/>
      <c r="F63" s="315"/>
      <c r="G63" s="315"/>
      <c r="H63" s="315"/>
      <c r="I63" s="315"/>
      <c r="J63" s="315"/>
      <c r="K63" s="315"/>
      <c r="M63" s="272"/>
    </row>
    <row r="64" spans="1:27">
      <c r="E64" s="315"/>
      <c r="F64" s="315"/>
      <c r="G64" s="315"/>
      <c r="H64" s="315"/>
      <c r="I64" s="315"/>
      <c r="J64" s="315"/>
      <c r="K64" s="315"/>
      <c r="M64" s="272"/>
    </row>
    <row r="65" spans="5:13">
      <c r="E65" s="315"/>
      <c r="F65" s="315"/>
      <c r="G65" s="315"/>
      <c r="H65" s="315"/>
      <c r="I65" s="315"/>
      <c r="J65" s="315"/>
      <c r="K65" s="315"/>
      <c r="M65" s="272"/>
    </row>
    <row r="66" spans="5:13">
      <c r="E66" s="315"/>
      <c r="F66" s="315"/>
      <c r="G66" s="315"/>
      <c r="H66" s="315"/>
      <c r="I66" s="315"/>
      <c r="J66" s="315"/>
      <c r="K66" s="315"/>
      <c r="M66" s="272"/>
    </row>
    <row r="67" spans="5:13">
      <c r="E67" s="315"/>
      <c r="F67" s="315"/>
      <c r="G67" s="315"/>
      <c r="H67" s="315"/>
      <c r="I67" s="315"/>
      <c r="J67" s="315"/>
      <c r="K67" s="315"/>
      <c r="M67" s="272"/>
    </row>
    <row r="68" spans="5:13">
      <c r="E68" s="315"/>
      <c r="F68" s="315"/>
      <c r="G68" s="315"/>
      <c r="H68" s="315"/>
      <c r="I68" s="315"/>
      <c r="J68" s="315"/>
      <c r="K68" s="315"/>
      <c r="M68" s="272"/>
    </row>
    <row r="69" spans="5:13">
      <c r="E69" s="315"/>
      <c r="F69" s="315"/>
      <c r="G69" s="315"/>
      <c r="H69" s="315"/>
      <c r="I69" s="315"/>
      <c r="J69" s="315"/>
      <c r="K69" s="315"/>
      <c r="M69" s="272"/>
    </row>
    <row r="70" spans="5:13">
      <c r="E70" s="315"/>
      <c r="F70" s="315"/>
      <c r="G70" s="315"/>
      <c r="H70" s="315"/>
      <c r="I70" s="315"/>
      <c r="J70" s="315"/>
      <c r="K70" s="315"/>
      <c r="M70" s="272"/>
    </row>
    <row r="71" spans="5:13">
      <c r="E71" s="315"/>
      <c r="F71" s="315"/>
      <c r="G71" s="315"/>
      <c r="H71" s="315"/>
      <c r="I71" s="315"/>
      <c r="J71" s="315"/>
      <c r="K71" s="315"/>
      <c r="M71" s="272"/>
    </row>
    <row r="72" spans="5:13">
      <c r="E72" s="315"/>
      <c r="F72" s="315"/>
      <c r="G72" s="315"/>
      <c r="H72" s="315"/>
      <c r="I72" s="315"/>
      <c r="J72" s="315"/>
      <c r="K72" s="315"/>
      <c r="M72" s="272"/>
    </row>
    <row r="73" spans="5:13">
      <c r="E73" s="315"/>
      <c r="F73" s="315"/>
      <c r="G73" s="315"/>
      <c r="H73" s="315"/>
      <c r="I73" s="315"/>
      <c r="J73" s="315"/>
      <c r="K73" s="315"/>
      <c r="M73" s="272"/>
    </row>
    <row r="74" spans="5:13">
      <c r="E74" s="315"/>
      <c r="F74" s="315"/>
      <c r="G74" s="315"/>
      <c r="H74" s="315"/>
      <c r="I74" s="315"/>
      <c r="J74" s="315"/>
      <c r="K74" s="315"/>
      <c r="M74" s="272"/>
    </row>
    <row r="75" spans="5:13">
      <c r="E75" s="315"/>
      <c r="F75" s="315"/>
      <c r="G75" s="315"/>
      <c r="H75" s="315"/>
      <c r="I75" s="315"/>
      <c r="J75" s="315"/>
      <c r="K75" s="315"/>
      <c r="M75" s="272"/>
    </row>
    <row r="76" spans="5:13">
      <c r="E76" s="315"/>
      <c r="F76" s="315"/>
      <c r="G76" s="315"/>
      <c r="H76" s="315"/>
      <c r="I76" s="315"/>
      <c r="J76" s="315"/>
      <c r="K76" s="315"/>
      <c r="M76" s="272"/>
    </row>
    <row r="77" spans="5:13">
      <c r="E77" s="315"/>
      <c r="F77" s="315"/>
      <c r="G77" s="315"/>
      <c r="H77" s="315"/>
      <c r="I77" s="315"/>
      <c r="J77" s="315"/>
      <c r="K77" s="315"/>
      <c r="M77" s="272"/>
    </row>
    <row r="78" spans="5:13">
      <c r="E78" s="315"/>
      <c r="F78" s="315"/>
      <c r="G78" s="315"/>
      <c r="H78" s="315"/>
      <c r="I78" s="315"/>
      <c r="J78" s="315"/>
      <c r="K78" s="315"/>
      <c r="M78" s="272"/>
    </row>
    <row r="79" spans="5:13">
      <c r="E79" s="315"/>
      <c r="F79" s="315"/>
      <c r="G79" s="315"/>
      <c r="H79" s="315"/>
      <c r="I79" s="315"/>
      <c r="J79" s="315"/>
      <c r="K79" s="315"/>
      <c r="M79" s="272"/>
    </row>
    <row r="80" spans="5:13">
      <c r="E80" s="315"/>
      <c r="F80" s="315"/>
      <c r="G80" s="315"/>
      <c r="H80" s="315"/>
      <c r="I80" s="315"/>
      <c r="J80" s="315"/>
      <c r="K80" s="315"/>
      <c r="M80" s="272"/>
    </row>
    <row r="81" spans="5:13">
      <c r="E81" s="315"/>
      <c r="F81" s="315"/>
      <c r="G81" s="315"/>
      <c r="H81" s="315"/>
      <c r="I81" s="315"/>
      <c r="J81" s="315"/>
      <c r="K81" s="315"/>
      <c r="M81" s="272"/>
    </row>
    <row r="82" spans="5:13">
      <c r="E82" s="315"/>
      <c r="F82" s="315"/>
      <c r="G82" s="315"/>
      <c r="H82" s="315"/>
      <c r="I82" s="315"/>
      <c r="J82" s="315"/>
      <c r="K82" s="315"/>
      <c r="M82" s="272"/>
    </row>
    <row r="83" spans="5:13">
      <c r="E83" s="315"/>
      <c r="F83" s="315"/>
      <c r="G83" s="315"/>
      <c r="H83" s="315"/>
      <c r="I83" s="315"/>
      <c r="J83" s="315"/>
      <c r="K83" s="315"/>
      <c r="M83" s="272"/>
    </row>
    <row r="84" spans="5:13">
      <c r="E84" s="315"/>
      <c r="F84" s="315"/>
      <c r="G84" s="315"/>
      <c r="H84" s="315"/>
      <c r="I84" s="315"/>
      <c r="J84" s="315"/>
      <c r="K84" s="315"/>
      <c r="M84" s="272"/>
    </row>
    <row r="85" spans="5:13">
      <c r="E85" s="315"/>
      <c r="F85" s="315"/>
      <c r="G85" s="315"/>
      <c r="H85" s="315"/>
      <c r="I85" s="315"/>
      <c r="J85" s="315"/>
      <c r="K85" s="315"/>
      <c r="M85" s="272"/>
    </row>
    <row r="86" spans="5:13">
      <c r="E86" s="315"/>
      <c r="F86" s="315"/>
      <c r="G86" s="315"/>
      <c r="H86" s="315"/>
      <c r="I86" s="315"/>
      <c r="J86" s="315"/>
      <c r="K86" s="315"/>
      <c r="M86" s="272"/>
    </row>
    <row r="87" spans="5:13">
      <c r="E87" s="315"/>
      <c r="F87" s="315"/>
      <c r="G87" s="315"/>
      <c r="H87" s="315"/>
      <c r="I87" s="315"/>
      <c r="J87" s="315"/>
      <c r="K87" s="315"/>
      <c r="M87" s="272"/>
    </row>
    <row r="88" spans="5:13">
      <c r="E88" s="315"/>
      <c r="F88" s="315"/>
      <c r="G88" s="315"/>
      <c r="H88" s="315"/>
      <c r="I88" s="315"/>
      <c r="J88" s="315"/>
      <c r="K88" s="315"/>
      <c r="M88" s="272"/>
    </row>
    <row r="89" spans="5:13">
      <c r="E89" s="315"/>
      <c r="F89" s="315"/>
      <c r="G89" s="315"/>
      <c r="H89" s="315"/>
      <c r="I89" s="315"/>
      <c r="J89" s="315"/>
      <c r="K89" s="315"/>
      <c r="M89" s="272"/>
    </row>
    <row r="90" spans="5:13">
      <c r="E90" s="315"/>
      <c r="F90" s="315"/>
      <c r="G90" s="315"/>
      <c r="H90" s="315"/>
      <c r="I90" s="315"/>
      <c r="J90" s="315"/>
      <c r="K90" s="315"/>
      <c r="M90" s="272"/>
    </row>
    <row r="91" spans="5:13">
      <c r="E91" s="315"/>
      <c r="F91" s="315"/>
      <c r="G91" s="315"/>
      <c r="H91" s="315"/>
      <c r="I91" s="315"/>
      <c r="J91" s="315"/>
      <c r="K91" s="315"/>
    </row>
    <row r="92" spans="5:13">
      <c r="E92" s="315"/>
      <c r="F92" s="315"/>
      <c r="G92" s="315"/>
      <c r="H92" s="315"/>
      <c r="I92" s="315"/>
      <c r="J92" s="315"/>
      <c r="K92" s="315"/>
    </row>
    <row r="93" spans="5:13">
      <c r="E93" s="315"/>
      <c r="F93" s="315"/>
      <c r="G93" s="315"/>
      <c r="H93" s="315"/>
      <c r="I93" s="315"/>
      <c r="J93" s="315"/>
      <c r="K93" s="315"/>
    </row>
    <row r="94" spans="5:13">
      <c r="E94" s="315"/>
      <c r="F94" s="315"/>
      <c r="G94" s="315"/>
      <c r="H94" s="315"/>
      <c r="I94" s="315"/>
      <c r="J94" s="315"/>
      <c r="K94" s="315"/>
    </row>
    <row r="95" spans="5:13">
      <c r="E95" s="315"/>
      <c r="F95" s="315"/>
      <c r="G95" s="315"/>
      <c r="H95" s="315"/>
      <c r="I95" s="315"/>
      <c r="J95" s="315"/>
      <c r="K95" s="315"/>
    </row>
    <row r="96" spans="5:13">
      <c r="E96" s="315"/>
      <c r="F96" s="315"/>
      <c r="G96" s="315"/>
      <c r="H96" s="315"/>
      <c r="I96" s="315"/>
      <c r="J96" s="315"/>
      <c r="K96" s="315"/>
    </row>
    <row r="97" spans="5:11">
      <c r="E97" s="315"/>
      <c r="F97" s="315"/>
      <c r="G97" s="315"/>
      <c r="H97" s="315"/>
      <c r="I97" s="315"/>
      <c r="J97" s="315"/>
      <c r="K97" s="315"/>
    </row>
    <row r="98" spans="5:11">
      <c r="E98" s="315"/>
      <c r="F98" s="315"/>
      <c r="G98" s="315"/>
      <c r="H98" s="315"/>
      <c r="I98" s="315"/>
      <c r="J98" s="315"/>
      <c r="K98" s="315"/>
    </row>
    <row r="99" spans="5:11">
      <c r="E99" s="315"/>
      <c r="F99" s="315"/>
      <c r="G99" s="315"/>
      <c r="H99" s="315"/>
      <c r="I99" s="315"/>
      <c r="J99" s="315"/>
      <c r="K99" s="315"/>
    </row>
    <row r="100" spans="5:11">
      <c r="E100" s="315"/>
      <c r="F100" s="315"/>
      <c r="G100" s="315"/>
      <c r="H100" s="315"/>
      <c r="I100" s="315"/>
      <c r="J100" s="315"/>
      <c r="K100" s="315"/>
    </row>
    <row r="101" spans="5:11">
      <c r="E101" s="315"/>
      <c r="F101" s="315"/>
      <c r="G101" s="315"/>
      <c r="H101" s="315"/>
      <c r="I101" s="315"/>
      <c r="J101" s="315"/>
      <c r="K101" s="315"/>
    </row>
    <row r="102" spans="5:11">
      <c r="E102" s="315"/>
      <c r="F102" s="315"/>
      <c r="G102" s="315"/>
      <c r="H102" s="315"/>
      <c r="I102" s="315"/>
      <c r="J102" s="315"/>
      <c r="K102" s="315"/>
    </row>
    <row r="103" spans="5:11">
      <c r="E103" s="315"/>
      <c r="F103" s="315"/>
      <c r="G103" s="315"/>
      <c r="H103" s="315"/>
      <c r="I103" s="315"/>
      <c r="J103" s="315"/>
      <c r="K103" s="315"/>
    </row>
    <row r="104" spans="5:11">
      <c r="E104" s="315"/>
      <c r="F104" s="315"/>
      <c r="G104" s="315"/>
      <c r="H104" s="315"/>
      <c r="I104" s="315"/>
      <c r="J104" s="315"/>
      <c r="K104" s="315"/>
    </row>
    <row r="105" spans="5:11">
      <c r="E105" s="315"/>
      <c r="F105" s="315"/>
      <c r="G105" s="315"/>
      <c r="H105" s="315"/>
      <c r="I105" s="315"/>
      <c r="J105" s="315"/>
      <c r="K105" s="315"/>
    </row>
    <row r="106" spans="5:11">
      <c r="E106" s="315"/>
      <c r="F106" s="315"/>
      <c r="G106" s="315"/>
      <c r="H106" s="315"/>
      <c r="I106" s="315"/>
      <c r="J106" s="315"/>
      <c r="K106" s="315"/>
    </row>
    <row r="107" spans="5:11">
      <c r="E107" s="315"/>
      <c r="F107" s="315"/>
      <c r="G107" s="315"/>
      <c r="H107" s="315"/>
      <c r="I107" s="315"/>
      <c r="J107" s="315"/>
      <c r="K107" s="315"/>
    </row>
    <row r="108" spans="5:11">
      <c r="E108" s="315"/>
      <c r="F108" s="315"/>
      <c r="G108" s="315"/>
      <c r="H108" s="315"/>
      <c r="I108" s="315"/>
      <c r="J108" s="315"/>
      <c r="K108" s="315"/>
    </row>
    <row r="109" spans="5:11">
      <c r="E109" s="315"/>
      <c r="F109" s="315"/>
      <c r="G109" s="315"/>
      <c r="H109" s="315"/>
      <c r="I109" s="315"/>
      <c r="J109" s="315"/>
      <c r="K109" s="315"/>
    </row>
    <row r="110" spans="5:11">
      <c r="E110" s="315"/>
      <c r="F110" s="315"/>
      <c r="G110" s="315"/>
      <c r="H110" s="315"/>
      <c r="I110" s="315"/>
      <c r="J110" s="315"/>
      <c r="K110" s="315"/>
    </row>
    <row r="111" spans="5:11">
      <c r="E111" s="315"/>
      <c r="F111" s="315"/>
      <c r="G111" s="315"/>
      <c r="H111" s="315"/>
      <c r="I111" s="315"/>
      <c r="J111" s="315"/>
      <c r="K111" s="315"/>
    </row>
    <row r="112" spans="5:11">
      <c r="E112" s="315"/>
      <c r="F112" s="315"/>
      <c r="G112" s="315"/>
      <c r="H112" s="315"/>
      <c r="I112" s="315"/>
      <c r="J112" s="315"/>
      <c r="K112" s="315"/>
    </row>
    <row r="113" spans="5:11">
      <c r="E113" s="315"/>
      <c r="F113" s="315"/>
      <c r="G113" s="315"/>
      <c r="H113" s="315"/>
      <c r="I113" s="315"/>
      <c r="J113" s="315"/>
      <c r="K113" s="315"/>
    </row>
    <row r="114" spans="5:11">
      <c r="E114" s="315"/>
      <c r="F114" s="315"/>
      <c r="G114" s="315"/>
      <c r="H114" s="315"/>
      <c r="I114" s="315"/>
      <c r="J114" s="315"/>
      <c r="K114" s="315"/>
    </row>
    <row r="115" spans="5:11">
      <c r="E115" s="315"/>
      <c r="F115" s="315"/>
      <c r="G115" s="315"/>
      <c r="H115" s="315"/>
      <c r="I115" s="315"/>
      <c r="J115" s="315"/>
      <c r="K115" s="315"/>
    </row>
    <row r="116" spans="5:11">
      <c r="E116" s="315"/>
      <c r="F116" s="315"/>
      <c r="G116" s="315"/>
      <c r="H116" s="315"/>
      <c r="I116" s="315"/>
      <c r="J116" s="315"/>
      <c r="K116" s="315"/>
    </row>
    <row r="117" spans="5:11">
      <c r="E117" s="315"/>
      <c r="F117" s="315"/>
      <c r="G117" s="315"/>
      <c r="H117" s="315"/>
      <c r="I117" s="315"/>
      <c r="J117" s="315"/>
      <c r="K117" s="315"/>
    </row>
    <row r="118" spans="5:11">
      <c r="E118" s="315"/>
      <c r="F118" s="315"/>
      <c r="G118" s="315"/>
      <c r="H118" s="315"/>
      <c r="I118" s="315"/>
      <c r="J118" s="315"/>
      <c r="K118" s="315"/>
    </row>
    <row r="119" spans="5:11">
      <c r="E119" s="315"/>
      <c r="F119" s="315"/>
      <c r="G119" s="315"/>
      <c r="H119" s="315"/>
      <c r="I119" s="315"/>
      <c r="J119" s="315"/>
      <c r="K119" s="315"/>
    </row>
    <row r="120" spans="5:11">
      <c r="E120" s="315"/>
      <c r="F120" s="315"/>
      <c r="G120" s="315"/>
      <c r="H120" s="315"/>
      <c r="I120" s="315"/>
      <c r="J120" s="315"/>
      <c r="K120" s="315"/>
    </row>
    <row r="121" spans="5:11">
      <c r="E121" s="315"/>
      <c r="F121" s="315"/>
      <c r="G121" s="315"/>
      <c r="H121" s="315"/>
      <c r="I121" s="315"/>
      <c r="J121" s="315"/>
      <c r="K121" s="315"/>
    </row>
    <row r="122" spans="5:11">
      <c r="E122" s="315"/>
      <c r="F122" s="315"/>
      <c r="G122" s="315"/>
      <c r="H122" s="315"/>
      <c r="I122" s="315"/>
      <c r="J122" s="315"/>
      <c r="K122" s="315"/>
    </row>
    <row r="123" spans="5:11">
      <c r="E123" s="315"/>
      <c r="F123" s="315"/>
      <c r="G123" s="315"/>
      <c r="H123" s="315"/>
      <c r="I123" s="315"/>
      <c r="J123" s="315"/>
      <c r="K123" s="315"/>
    </row>
    <row r="124" spans="5:11">
      <c r="E124" s="315"/>
      <c r="F124" s="315"/>
      <c r="G124" s="315"/>
      <c r="H124" s="315"/>
      <c r="I124" s="315"/>
      <c r="J124" s="315"/>
      <c r="K124" s="315"/>
    </row>
    <row r="125" spans="5:11">
      <c r="E125" s="315"/>
      <c r="F125" s="315"/>
      <c r="G125" s="315"/>
      <c r="H125" s="315"/>
      <c r="I125" s="315"/>
      <c r="J125" s="315"/>
      <c r="K125" s="315"/>
    </row>
    <row r="126" spans="5:11">
      <c r="E126" s="315"/>
      <c r="F126" s="315"/>
      <c r="G126" s="315"/>
      <c r="H126" s="315"/>
      <c r="I126" s="315"/>
      <c r="J126" s="315"/>
      <c r="K126" s="315"/>
    </row>
    <row r="127" spans="5:11">
      <c r="E127" s="315"/>
      <c r="F127" s="315"/>
      <c r="G127" s="315"/>
      <c r="H127" s="315"/>
      <c r="I127" s="315"/>
      <c r="J127" s="315"/>
      <c r="K127" s="315"/>
    </row>
    <row r="128" spans="5:11">
      <c r="E128" s="315"/>
      <c r="F128" s="315"/>
      <c r="G128" s="315"/>
      <c r="H128" s="315"/>
      <c r="I128" s="315"/>
      <c r="J128" s="315"/>
      <c r="K128" s="315"/>
    </row>
    <row r="129" spans="5:11">
      <c r="E129" s="315"/>
      <c r="F129" s="315"/>
      <c r="G129" s="315"/>
      <c r="H129" s="315"/>
      <c r="I129" s="315"/>
      <c r="J129" s="315"/>
      <c r="K129" s="315"/>
    </row>
    <row r="130" spans="5:11">
      <c r="E130" s="315"/>
      <c r="F130" s="315"/>
      <c r="G130" s="315"/>
      <c r="H130" s="315"/>
      <c r="I130" s="315"/>
      <c r="J130" s="315"/>
      <c r="K130" s="315"/>
    </row>
    <row r="131" spans="5:11">
      <c r="E131" s="315"/>
      <c r="F131" s="315"/>
      <c r="G131" s="315"/>
      <c r="H131" s="315"/>
      <c r="I131" s="315"/>
      <c r="J131" s="315"/>
      <c r="K131" s="315"/>
    </row>
    <row r="132" spans="5:11">
      <c r="E132" s="315"/>
      <c r="F132" s="315"/>
      <c r="G132" s="315"/>
      <c r="H132" s="315"/>
      <c r="I132" s="315"/>
      <c r="J132" s="315"/>
      <c r="K132" s="315"/>
    </row>
    <row r="133" spans="5:11">
      <c r="E133" s="315"/>
      <c r="F133" s="315"/>
      <c r="G133" s="315"/>
      <c r="H133" s="315"/>
      <c r="I133" s="315"/>
      <c r="J133" s="315"/>
      <c r="K133" s="315"/>
    </row>
    <row r="134" spans="5:11">
      <c r="E134" s="315"/>
      <c r="F134" s="315"/>
      <c r="G134" s="315"/>
      <c r="H134" s="315"/>
      <c r="I134" s="315"/>
      <c r="J134" s="315"/>
      <c r="K134" s="315"/>
    </row>
    <row r="135" spans="5:11">
      <c r="E135" s="315"/>
      <c r="F135" s="315"/>
      <c r="G135" s="315"/>
      <c r="H135" s="315"/>
      <c r="I135" s="315"/>
      <c r="J135" s="315"/>
      <c r="K135" s="315"/>
    </row>
    <row r="136" spans="5:11">
      <c r="E136" s="315"/>
      <c r="F136" s="315"/>
      <c r="G136" s="315"/>
      <c r="H136" s="315"/>
      <c r="I136" s="315"/>
      <c r="J136" s="315"/>
      <c r="K136" s="315"/>
    </row>
    <row r="137" spans="5:11">
      <c r="E137" s="315"/>
      <c r="F137" s="315"/>
      <c r="G137" s="315"/>
      <c r="H137" s="315"/>
      <c r="I137" s="315"/>
      <c r="J137" s="315"/>
      <c r="K137" s="315"/>
    </row>
    <row r="138" spans="5:11">
      <c r="E138" s="315"/>
      <c r="F138" s="315"/>
      <c r="G138" s="315"/>
      <c r="H138" s="315"/>
      <c r="I138" s="315"/>
      <c r="J138" s="315"/>
      <c r="K138" s="315"/>
    </row>
    <row r="139" spans="5:11">
      <c r="E139" s="315"/>
      <c r="F139" s="315"/>
      <c r="G139" s="315"/>
      <c r="H139" s="315"/>
      <c r="I139" s="315"/>
      <c r="J139" s="315"/>
      <c r="K139" s="315"/>
    </row>
    <row r="140" spans="5:11">
      <c r="E140" s="315"/>
      <c r="F140" s="315"/>
      <c r="G140" s="315"/>
      <c r="H140" s="315"/>
      <c r="I140" s="315"/>
      <c r="J140" s="315"/>
      <c r="K140" s="315"/>
    </row>
    <row r="141" spans="5:11">
      <c r="E141" s="315"/>
      <c r="F141" s="315"/>
      <c r="G141" s="315"/>
      <c r="H141" s="315"/>
      <c r="I141" s="315"/>
      <c r="J141" s="315"/>
      <c r="K141" s="315"/>
    </row>
    <row r="142" spans="5:11">
      <c r="E142" s="315"/>
      <c r="F142" s="315"/>
      <c r="G142" s="315"/>
      <c r="H142" s="315"/>
      <c r="I142" s="315"/>
      <c r="J142" s="315"/>
      <c r="K142" s="315"/>
    </row>
    <row r="143" spans="5:11">
      <c r="E143" s="315"/>
      <c r="F143" s="315"/>
      <c r="G143" s="315"/>
      <c r="H143" s="315"/>
      <c r="I143" s="315"/>
      <c r="J143" s="315"/>
      <c r="K143" s="315"/>
    </row>
    <row r="144" spans="5:11">
      <c r="E144" s="315"/>
      <c r="F144" s="315"/>
      <c r="G144" s="315"/>
      <c r="H144" s="315"/>
      <c r="I144" s="315"/>
      <c r="J144" s="315"/>
      <c r="K144" s="315"/>
    </row>
    <row r="145" spans="5:11">
      <c r="E145" s="315"/>
      <c r="F145" s="315"/>
      <c r="G145" s="315"/>
      <c r="H145" s="315"/>
      <c r="I145" s="315"/>
      <c r="J145" s="315"/>
      <c r="K145" s="315"/>
    </row>
    <row r="146" spans="5:11">
      <c r="E146" s="315"/>
      <c r="F146" s="315"/>
      <c r="G146" s="315"/>
      <c r="H146" s="315"/>
      <c r="I146" s="315"/>
      <c r="J146" s="315"/>
      <c r="K146" s="315"/>
    </row>
    <row r="147" spans="5:11">
      <c r="E147" s="315"/>
      <c r="F147" s="315"/>
      <c r="G147" s="315"/>
      <c r="H147" s="315"/>
      <c r="I147" s="315"/>
      <c r="J147" s="315"/>
      <c r="K147" s="315"/>
    </row>
    <row r="148" spans="5:11">
      <c r="E148" s="315"/>
      <c r="F148" s="315"/>
      <c r="G148" s="315"/>
      <c r="H148" s="315"/>
      <c r="I148" s="315"/>
      <c r="J148" s="315"/>
      <c r="K148" s="315"/>
    </row>
    <row r="149" spans="5:11">
      <c r="E149" s="315"/>
      <c r="F149" s="315"/>
      <c r="G149" s="315"/>
      <c r="H149" s="315"/>
      <c r="I149" s="315"/>
      <c r="J149" s="315"/>
      <c r="K149" s="315"/>
    </row>
    <row r="150" spans="5:11">
      <c r="E150" s="315"/>
      <c r="F150" s="315"/>
      <c r="G150" s="315"/>
      <c r="H150" s="315"/>
      <c r="I150" s="315"/>
      <c r="J150" s="315"/>
      <c r="K150" s="315"/>
    </row>
    <row r="151" spans="5:11">
      <c r="E151" s="315"/>
      <c r="F151" s="315"/>
      <c r="G151" s="315"/>
      <c r="H151" s="315"/>
      <c r="I151" s="315"/>
      <c r="J151" s="315"/>
      <c r="K151" s="315"/>
    </row>
    <row r="152" spans="5:11">
      <c r="E152" s="315"/>
      <c r="F152" s="315"/>
      <c r="G152" s="315"/>
      <c r="H152" s="315"/>
      <c r="I152" s="315"/>
      <c r="J152" s="315"/>
      <c r="K152" s="315"/>
    </row>
    <row r="153" spans="5:11">
      <c r="E153" s="315"/>
      <c r="F153" s="315"/>
      <c r="G153" s="315"/>
      <c r="H153" s="315"/>
      <c r="I153" s="315"/>
      <c r="J153" s="315"/>
      <c r="K153" s="315"/>
    </row>
    <row r="154" spans="5:11">
      <c r="E154" s="315"/>
      <c r="F154" s="315"/>
      <c r="G154" s="315"/>
      <c r="H154" s="315"/>
      <c r="I154" s="315"/>
      <c r="J154" s="315"/>
      <c r="K154" s="315"/>
    </row>
    <row r="155" spans="5:11">
      <c r="E155" s="315"/>
      <c r="F155" s="315"/>
      <c r="G155" s="315"/>
      <c r="H155" s="315"/>
      <c r="I155" s="315"/>
      <c r="J155" s="315"/>
      <c r="K155" s="315"/>
    </row>
    <row r="156" spans="5:11">
      <c r="E156" s="315"/>
      <c r="F156" s="315"/>
      <c r="G156" s="315"/>
      <c r="H156" s="315"/>
      <c r="I156" s="315"/>
      <c r="J156" s="315"/>
      <c r="K156" s="315"/>
    </row>
    <row r="157" spans="5:11">
      <c r="E157" s="315"/>
      <c r="F157" s="315"/>
      <c r="G157" s="315"/>
      <c r="H157" s="315"/>
      <c r="I157" s="315"/>
      <c r="J157" s="315"/>
      <c r="K157" s="315"/>
    </row>
    <row r="158" spans="5:11">
      <c r="E158" s="315"/>
      <c r="F158" s="315"/>
      <c r="G158" s="315"/>
      <c r="H158" s="315"/>
      <c r="I158" s="315"/>
      <c r="J158" s="315"/>
      <c r="K158" s="315"/>
    </row>
    <row r="159" spans="5:11">
      <c r="E159" s="315"/>
      <c r="F159" s="315"/>
      <c r="G159" s="315"/>
      <c r="H159" s="315"/>
      <c r="I159" s="315"/>
      <c r="J159" s="315"/>
      <c r="K159" s="315"/>
    </row>
    <row r="160" spans="5:11">
      <c r="E160" s="315"/>
      <c r="F160" s="315"/>
      <c r="G160" s="315"/>
      <c r="H160" s="315"/>
      <c r="I160" s="315"/>
      <c r="J160" s="315"/>
      <c r="K160" s="315"/>
    </row>
    <row r="161" spans="5:11">
      <c r="E161" s="315"/>
      <c r="F161" s="315"/>
      <c r="G161" s="315"/>
      <c r="H161" s="315"/>
      <c r="I161" s="315"/>
      <c r="J161" s="315"/>
      <c r="K161" s="315"/>
    </row>
    <row r="162" spans="5:11">
      <c r="E162" s="315"/>
      <c r="F162" s="315"/>
      <c r="G162" s="315"/>
      <c r="H162" s="315"/>
      <c r="I162" s="315"/>
      <c r="J162" s="315"/>
      <c r="K162" s="315"/>
    </row>
    <row r="163" spans="5:11">
      <c r="E163" s="315"/>
      <c r="F163" s="315"/>
      <c r="G163" s="315"/>
      <c r="H163" s="315"/>
      <c r="I163" s="315"/>
      <c r="J163" s="315"/>
      <c r="K163" s="315"/>
    </row>
    <row r="164" spans="5:11">
      <c r="E164" s="315"/>
      <c r="F164" s="315"/>
      <c r="G164" s="315"/>
      <c r="H164" s="315"/>
      <c r="I164" s="315"/>
      <c r="J164" s="315"/>
      <c r="K164" s="315"/>
    </row>
    <row r="165" spans="5:11">
      <c r="E165" s="315"/>
      <c r="F165" s="315"/>
      <c r="G165" s="315"/>
      <c r="H165" s="315"/>
      <c r="I165" s="315"/>
      <c r="J165" s="315"/>
      <c r="K165" s="315"/>
    </row>
    <row r="166" spans="5:11">
      <c r="E166" s="315"/>
      <c r="F166" s="315"/>
      <c r="G166" s="315"/>
      <c r="H166" s="315"/>
      <c r="I166" s="315"/>
      <c r="J166" s="315"/>
      <c r="K166" s="315"/>
    </row>
    <row r="167" spans="5:11">
      <c r="E167" s="315"/>
      <c r="F167" s="315"/>
      <c r="G167" s="315"/>
      <c r="H167" s="315"/>
      <c r="I167" s="315"/>
      <c r="J167" s="315"/>
      <c r="K167" s="315"/>
    </row>
    <row r="168" spans="5:11">
      <c r="E168" s="315"/>
      <c r="F168" s="315"/>
      <c r="G168" s="315"/>
      <c r="H168" s="315"/>
      <c r="I168" s="315"/>
      <c r="J168" s="315"/>
      <c r="K168" s="315"/>
    </row>
    <row r="169" spans="5:11">
      <c r="E169" s="315"/>
      <c r="F169" s="315"/>
      <c r="G169" s="315"/>
      <c r="H169" s="315"/>
      <c r="I169" s="315"/>
      <c r="J169" s="315"/>
      <c r="K169" s="315"/>
    </row>
    <row r="170" spans="5:11">
      <c r="E170" s="315"/>
      <c r="F170" s="315"/>
      <c r="G170" s="315"/>
      <c r="H170" s="315"/>
      <c r="I170" s="315"/>
      <c r="J170" s="315"/>
      <c r="K170" s="315"/>
    </row>
    <row r="171" spans="5:11">
      <c r="E171" s="315"/>
      <c r="F171" s="315"/>
      <c r="G171" s="315"/>
      <c r="H171" s="315"/>
      <c r="I171" s="315"/>
      <c r="J171" s="315"/>
      <c r="K171" s="315"/>
    </row>
    <row r="172" spans="5:11">
      <c r="E172" s="315"/>
      <c r="F172" s="315"/>
      <c r="G172" s="315"/>
      <c r="H172" s="315"/>
      <c r="I172" s="315"/>
      <c r="J172" s="315"/>
      <c r="K172" s="315"/>
    </row>
    <row r="173" spans="5:11">
      <c r="E173" s="315"/>
      <c r="F173" s="315"/>
      <c r="G173" s="315"/>
      <c r="H173" s="315"/>
      <c r="I173" s="315"/>
      <c r="J173" s="315"/>
      <c r="K173" s="315"/>
    </row>
    <row r="174" spans="5:11">
      <c r="E174" s="315"/>
      <c r="F174" s="315"/>
      <c r="G174" s="315"/>
      <c r="H174" s="315"/>
      <c r="I174" s="315"/>
      <c r="J174" s="315"/>
      <c r="K174" s="315"/>
    </row>
    <row r="175" spans="5:11">
      <c r="E175" s="315"/>
      <c r="F175" s="315"/>
      <c r="G175" s="315"/>
      <c r="H175" s="315"/>
      <c r="I175" s="315"/>
      <c r="J175" s="315"/>
      <c r="K175" s="315"/>
    </row>
    <row r="176" spans="5:11">
      <c r="E176" s="315"/>
      <c r="F176" s="315"/>
      <c r="G176" s="315"/>
      <c r="H176" s="315"/>
      <c r="I176" s="315"/>
      <c r="J176" s="315"/>
      <c r="K176" s="315"/>
    </row>
    <row r="177" spans="5:11">
      <c r="E177" s="315"/>
      <c r="F177" s="315"/>
      <c r="G177" s="315"/>
      <c r="H177" s="315"/>
      <c r="I177" s="315"/>
      <c r="J177" s="315"/>
      <c r="K177" s="315"/>
    </row>
    <row r="178" spans="5:11">
      <c r="E178" s="315"/>
      <c r="F178" s="315"/>
      <c r="G178" s="315"/>
      <c r="H178" s="315"/>
      <c r="I178" s="315"/>
      <c r="J178" s="315"/>
      <c r="K178" s="315"/>
    </row>
    <row r="179" spans="5:11">
      <c r="E179" s="315"/>
      <c r="F179" s="315"/>
      <c r="G179" s="315"/>
      <c r="H179" s="315"/>
      <c r="I179" s="315"/>
      <c r="J179" s="315"/>
      <c r="K179" s="315"/>
    </row>
    <row r="180" spans="5:11">
      <c r="E180" s="315"/>
      <c r="F180" s="315"/>
      <c r="G180" s="315"/>
      <c r="H180" s="315"/>
      <c r="I180" s="315"/>
      <c r="J180" s="315"/>
      <c r="K180" s="315"/>
    </row>
    <row r="181" spans="5:11">
      <c r="E181" s="315"/>
      <c r="F181" s="315"/>
      <c r="G181" s="315"/>
      <c r="H181" s="315"/>
      <c r="I181" s="315"/>
      <c r="J181" s="315"/>
      <c r="K181" s="315"/>
    </row>
    <row r="182" spans="5:11">
      <c r="E182" s="315"/>
      <c r="F182" s="315"/>
      <c r="G182" s="315"/>
      <c r="H182" s="315"/>
      <c r="I182" s="315"/>
      <c r="J182" s="315"/>
      <c r="K182" s="315"/>
    </row>
    <row r="183" spans="5:11">
      <c r="E183" s="315"/>
      <c r="F183" s="315"/>
      <c r="G183" s="315"/>
      <c r="H183" s="315"/>
      <c r="I183" s="315"/>
      <c r="J183" s="315"/>
      <c r="K183" s="315"/>
    </row>
    <row r="184" spans="5:11">
      <c r="E184" s="315"/>
      <c r="F184" s="315"/>
      <c r="G184" s="315"/>
      <c r="H184" s="315"/>
      <c r="I184" s="315"/>
      <c r="J184" s="315"/>
      <c r="K184" s="315"/>
    </row>
    <row r="185" spans="5:11">
      <c r="E185" s="315"/>
      <c r="F185" s="315"/>
      <c r="G185" s="315"/>
      <c r="H185" s="315"/>
      <c r="I185" s="315"/>
      <c r="J185" s="315"/>
      <c r="K185" s="315"/>
    </row>
    <row r="186" spans="5:11">
      <c r="E186" s="315"/>
      <c r="F186" s="315"/>
      <c r="G186" s="315"/>
      <c r="H186" s="315"/>
      <c r="I186" s="315"/>
      <c r="J186" s="315"/>
      <c r="K186" s="315"/>
    </row>
    <row r="187" spans="5:11">
      <c r="E187" s="315"/>
      <c r="F187" s="315"/>
      <c r="G187" s="315"/>
      <c r="H187" s="315"/>
      <c r="I187" s="315"/>
      <c r="J187" s="315"/>
      <c r="K187" s="315"/>
    </row>
    <row r="188" spans="5:11">
      <c r="E188" s="315"/>
      <c r="F188" s="315"/>
      <c r="G188" s="315"/>
      <c r="H188" s="315"/>
      <c r="I188" s="315"/>
      <c r="J188" s="315"/>
      <c r="K188" s="315"/>
    </row>
    <row r="189" spans="5:11">
      <c r="E189" s="315"/>
      <c r="F189" s="315"/>
      <c r="G189" s="315"/>
      <c r="H189" s="315"/>
      <c r="I189" s="315"/>
      <c r="J189" s="315"/>
      <c r="K189" s="315"/>
    </row>
    <row r="190" spans="5:11">
      <c r="E190" s="315"/>
      <c r="F190" s="315"/>
      <c r="G190" s="315"/>
      <c r="H190" s="315"/>
      <c r="I190" s="315"/>
      <c r="J190" s="315"/>
      <c r="K190" s="315"/>
    </row>
    <row r="191" spans="5:11">
      <c r="E191" s="315"/>
      <c r="F191" s="315"/>
      <c r="G191" s="315"/>
      <c r="H191" s="315"/>
      <c r="I191" s="315"/>
      <c r="J191" s="315"/>
      <c r="K191" s="315"/>
    </row>
    <row r="192" spans="5:11">
      <c r="E192" s="315"/>
      <c r="F192" s="315"/>
      <c r="G192" s="315"/>
      <c r="H192" s="315"/>
      <c r="I192" s="315"/>
      <c r="J192" s="315"/>
      <c r="K192" s="315"/>
    </row>
    <row r="193" spans="5:11">
      <c r="E193" s="315"/>
      <c r="F193" s="315"/>
      <c r="G193" s="315"/>
      <c r="H193" s="315"/>
      <c r="I193" s="315"/>
      <c r="J193" s="315"/>
      <c r="K193" s="315"/>
    </row>
    <row r="194" spans="5:11">
      <c r="E194" s="315"/>
      <c r="F194" s="315"/>
      <c r="G194" s="315"/>
      <c r="H194" s="315"/>
      <c r="I194" s="315"/>
      <c r="J194" s="315"/>
      <c r="K194" s="315"/>
    </row>
    <row r="195" spans="5:11">
      <c r="E195" s="315"/>
      <c r="F195" s="315"/>
      <c r="G195" s="315"/>
      <c r="H195" s="315"/>
      <c r="I195" s="315"/>
      <c r="J195" s="315"/>
      <c r="K195" s="315"/>
    </row>
    <row r="196" spans="5:11">
      <c r="E196" s="315"/>
      <c r="F196" s="315"/>
      <c r="G196" s="315"/>
      <c r="H196" s="315"/>
      <c r="I196" s="315"/>
      <c r="J196" s="315"/>
      <c r="K196" s="315"/>
    </row>
    <row r="197" spans="5:11">
      <c r="E197" s="315"/>
      <c r="F197" s="315"/>
      <c r="G197" s="315"/>
      <c r="H197" s="315"/>
      <c r="I197" s="315"/>
      <c r="J197" s="315"/>
      <c r="K197" s="315"/>
    </row>
    <row r="198" spans="5:11">
      <c r="E198" s="315"/>
      <c r="F198" s="315"/>
      <c r="G198" s="315"/>
      <c r="H198" s="315"/>
      <c r="I198" s="315"/>
      <c r="J198" s="315"/>
      <c r="K198" s="315"/>
    </row>
    <row r="199" spans="5:11">
      <c r="E199" s="315"/>
      <c r="F199" s="315"/>
      <c r="G199" s="315"/>
      <c r="H199" s="315"/>
      <c r="I199" s="315"/>
      <c r="J199" s="315"/>
      <c r="K199" s="315"/>
    </row>
    <row r="200" spans="5:11">
      <c r="E200" s="315"/>
      <c r="F200" s="315"/>
      <c r="G200" s="315"/>
      <c r="H200" s="315"/>
      <c r="I200" s="315"/>
      <c r="J200" s="315"/>
      <c r="K200" s="315"/>
    </row>
    <row r="201" spans="5:11">
      <c r="E201" s="315"/>
      <c r="F201" s="315"/>
      <c r="G201" s="315"/>
      <c r="H201" s="315"/>
      <c r="I201" s="315"/>
      <c r="J201" s="315"/>
      <c r="K201" s="315"/>
    </row>
    <row r="202" spans="5:11">
      <c r="E202" s="315"/>
      <c r="F202" s="315"/>
      <c r="G202" s="315"/>
      <c r="H202" s="315"/>
      <c r="I202" s="315"/>
      <c r="J202" s="315"/>
      <c r="K202" s="315"/>
    </row>
    <row r="203" spans="5:11">
      <c r="E203" s="315"/>
      <c r="F203" s="315"/>
      <c r="G203" s="315"/>
      <c r="H203" s="315"/>
      <c r="I203" s="315"/>
      <c r="J203" s="315"/>
      <c r="K203" s="315"/>
    </row>
    <row r="204" spans="5:11">
      <c r="E204" s="315"/>
      <c r="F204" s="315"/>
      <c r="G204" s="315"/>
      <c r="H204" s="315"/>
      <c r="I204" s="315"/>
      <c r="J204" s="315"/>
      <c r="K204" s="315"/>
    </row>
    <row r="205" spans="5:11">
      <c r="E205" s="315"/>
      <c r="F205" s="315"/>
      <c r="G205" s="315"/>
      <c r="H205" s="315"/>
      <c r="I205" s="315"/>
      <c r="J205" s="315"/>
      <c r="K205" s="315"/>
    </row>
    <row r="206" spans="5:11">
      <c r="E206" s="315"/>
      <c r="F206" s="315"/>
      <c r="G206" s="315"/>
      <c r="H206" s="315"/>
      <c r="I206" s="315"/>
      <c r="J206" s="315"/>
      <c r="K206" s="315"/>
    </row>
    <row r="207" spans="5:11">
      <c r="E207" s="315"/>
      <c r="F207" s="315"/>
      <c r="G207" s="315"/>
      <c r="H207" s="315"/>
      <c r="I207" s="315"/>
      <c r="J207" s="315"/>
      <c r="K207" s="315"/>
    </row>
    <row r="208" spans="5:11">
      <c r="E208" s="315"/>
      <c r="F208" s="315"/>
      <c r="G208" s="315"/>
      <c r="H208" s="315"/>
      <c r="I208" s="315"/>
      <c r="J208" s="315"/>
      <c r="K208" s="315"/>
    </row>
    <row r="209" spans="5:11">
      <c r="E209" s="315"/>
      <c r="F209" s="315"/>
      <c r="G209" s="315"/>
      <c r="H209" s="315"/>
      <c r="I209" s="315"/>
      <c r="J209" s="315"/>
      <c r="K209" s="315"/>
    </row>
    <row r="210" spans="5:11">
      <c r="E210" s="315"/>
      <c r="F210" s="315"/>
      <c r="G210" s="315"/>
      <c r="H210" s="315"/>
      <c r="I210" s="315"/>
      <c r="J210" s="315"/>
      <c r="K210" s="315"/>
    </row>
    <row r="211" spans="5:11">
      <c r="E211" s="315"/>
      <c r="F211" s="315"/>
      <c r="G211" s="315"/>
      <c r="H211" s="315"/>
      <c r="I211" s="315"/>
      <c r="J211" s="315"/>
      <c r="K211" s="315"/>
    </row>
    <row r="212" spans="5:11">
      <c r="E212" s="315"/>
      <c r="F212" s="315"/>
      <c r="G212" s="315"/>
      <c r="H212" s="315"/>
      <c r="I212" s="315"/>
      <c r="J212" s="315"/>
      <c r="K212" s="315"/>
    </row>
    <row r="213" spans="5:11">
      <c r="E213" s="315"/>
      <c r="F213" s="315"/>
      <c r="G213" s="315"/>
      <c r="H213" s="315"/>
      <c r="I213" s="315"/>
      <c r="J213" s="315"/>
      <c r="K213" s="315"/>
    </row>
    <row r="214" spans="5:11">
      <c r="E214" s="315"/>
      <c r="F214" s="315"/>
      <c r="G214" s="315"/>
      <c r="H214" s="315"/>
      <c r="I214" s="315"/>
      <c r="J214" s="315"/>
      <c r="K214" s="315"/>
    </row>
    <row r="215" spans="5:11">
      <c r="E215" s="315"/>
      <c r="F215" s="315"/>
      <c r="G215" s="315"/>
      <c r="H215" s="315"/>
      <c r="I215" s="315"/>
      <c r="J215" s="315"/>
      <c r="K215" s="315"/>
    </row>
    <row r="216" spans="5:11">
      <c r="E216" s="315"/>
      <c r="F216" s="315"/>
      <c r="G216" s="315"/>
      <c r="H216" s="315"/>
      <c r="I216" s="315"/>
      <c r="J216" s="315"/>
      <c r="K216" s="315"/>
    </row>
    <row r="217" spans="5:11">
      <c r="E217" s="315"/>
      <c r="F217" s="315"/>
      <c r="G217" s="315"/>
      <c r="H217" s="315"/>
      <c r="I217" s="315"/>
      <c r="J217" s="315"/>
      <c r="K217" s="315"/>
    </row>
    <row r="218" spans="5:11">
      <c r="E218" s="315"/>
      <c r="F218" s="315"/>
      <c r="G218" s="315"/>
      <c r="H218" s="315"/>
      <c r="I218" s="315"/>
      <c r="J218" s="315"/>
      <c r="K218" s="315"/>
    </row>
    <row r="219" spans="5:11">
      <c r="E219" s="315"/>
      <c r="F219" s="315"/>
      <c r="G219" s="315"/>
      <c r="H219" s="315"/>
      <c r="I219" s="315"/>
      <c r="J219" s="315"/>
      <c r="K219" s="315"/>
    </row>
    <row r="220" spans="5:11">
      <c r="E220" s="315"/>
      <c r="F220" s="315"/>
      <c r="G220" s="315"/>
      <c r="H220" s="315"/>
      <c r="I220" s="315"/>
      <c r="J220" s="315"/>
      <c r="K220" s="315"/>
    </row>
    <row r="221" spans="5:11">
      <c r="E221" s="315"/>
      <c r="F221" s="315"/>
      <c r="G221" s="315"/>
      <c r="H221" s="315"/>
      <c r="I221" s="315"/>
      <c r="J221" s="315"/>
      <c r="K221" s="315"/>
    </row>
    <row r="222" spans="5:11">
      <c r="E222" s="315"/>
      <c r="F222" s="315"/>
      <c r="G222" s="315"/>
      <c r="H222" s="315"/>
      <c r="I222" s="315"/>
      <c r="J222" s="315"/>
      <c r="K222" s="315"/>
    </row>
    <row r="223" spans="5:11">
      <c r="E223" s="315"/>
      <c r="F223" s="315"/>
      <c r="G223" s="315"/>
      <c r="H223" s="315"/>
      <c r="I223" s="315"/>
      <c r="J223" s="315"/>
      <c r="K223" s="315"/>
    </row>
    <row r="224" spans="5:11">
      <c r="E224" s="315"/>
      <c r="F224" s="315"/>
      <c r="G224" s="315"/>
      <c r="H224" s="315"/>
      <c r="I224" s="315"/>
      <c r="J224" s="315"/>
      <c r="K224" s="315"/>
    </row>
    <row r="225" spans="5:11">
      <c r="E225" s="315"/>
      <c r="F225" s="315"/>
      <c r="G225" s="315"/>
      <c r="H225" s="315"/>
      <c r="I225" s="315"/>
      <c r="J225" s="315"/>
      <c r="K225" s="315"/>
    </row>
    <row r="226" spans="5:11">
      <c r="E226" s="315"/>
      <c r="F226" s="315"/>
      <c r="G226" s="315"/>
      <c r="H226" s="315"/>
      <c r="I226" s="315"/>
      <c r="J226" s="315"/>
      <c r="K226" s="315"/>
    </row>
    <row r="227" spans="5:11">
      <c r="E227" s="315"/>
      <c r="F227" s="315"/>
      <c r="G227" s="315"/>
      <c r="H227" s="315"/>
      <c r="I227" s="315"/>
      <c r="J227" s="315"/>
      <c r="K227" s="315"/>
    </row>
    <row r="228" spans="5:11">
      <c r="E228" s="315"/>
      <c r="F228" s="315"/>
      <c r="G228" s="315"/>
      <c r="H228" s="315"/>
      <c r="I228" s="315"/>
      <c r="J228" s="315"/>
      <c r="K228" s="315"/>
    </row>
    <row r="229" spans="5:11">
      <c r="E229" s="315"/>
      <c r="F229" s="315"/>
      <c r="G229" s="315"/>
      <c r="H229" s="315"/>
      <c r="I229" s="315"/>
      <c r="J229" s="315"/>
      <c r="K229" s="315"/>
    </row>
    <row r="230" spans="5:11">
      <c r="E230" s="315"/>
      <c r="F230" s="315"/>
      <c r="G230" s="315"/>
      <c r="H230" s="315"/>
      <c r="I230" s="315"/>
      <c r="J230" s="315"/>
      <c r="K230" s="315"/>
    </row>
    <row r="231" spans="5:11">
      <c r="E231" s="315"/>
      <c r="F231" s="315"/>
      <c r="G231" s="315"/>
      <c r="H231" s="315"/>
      <c r="I231" s="315"/>
      <c r="J231" s="315"/>
      <c r="K231" s="315"/>
    </row>
    <row r="232" spans="5:11">
      <c r="E232" s="315"/>
      <c r="F232" s="315"/>
      <c r="G232" s="315"/>
      <c r="H232" s="315"/>
      <c r="I232" s="315"/>
      <c r="J232" s="315"/>
      <c r="K232" s="315"/>
    </row>
    <row r="233" spans="5:11">
      <c r="E233" s="315"/>
      <c r="F233" s="315"/>
      <c r="G233" s="315"/>
      <c r="H233" s="315"/>
      <c r="I233" s="315"/>
      <c r="J233" s="315"/>
      <c r="K233" s="315"/>
    </row>
    <row r="234" spans="5:11">
      <c r="E234" s="315"/>
      <c r="F234" s="315"/>
      <c r="G234" s="315"/>
      <c r="H234" s="315"/>
      <c r="I234" s="315"/>
      <c r="J234" s="315"/>
      <c r="K234" s="315"/>
    </row>
    <row r="235" spans="5:11">
      <c r="E235" s="315"/>
      <c r="F235" s="315"/>
      <c r="G235" s="315"/>
      <c r="H235" s="315"/>
      <c r="I235" s="315"/>
      <c r="J235" s="315"/>
      <c r="K235" s="315"/>
    </row>
    <row r="236" spans="5:11">
      <c r="E236" s="315"/>
      <c r="F236" s="315"/>
      <c r="G236" s="315"/>
      <c r="H236" s="315"/>
      <c r="I236" s="315"/>
      <c r="J236" s="315"/>
      <c r="K236" s="315"/>
    </row>
    <row r="237" spans="5:11">
      <c r="E237" s="315"/>
      <c r="F237" s="315"/>
      <c r="G237" s="315"/>
      <c r="H237" s="315"/>
      <c r="I237" s="315"/>
      <c r="J237" s="315"/>
      <c r="K237" s="315"/>
    </row>
    <row r="238" spans="5:11">
      <c r="E238" s="315"/>
      <c r="F238" s="315"/>
      <c r="G238" s="315"/>
      <c r="H238" s="315"/>
      <c r="I238" s="315"/>
      <c r="J238" s="315"/>
      <c r="K238" s="315"/>
    </row>
    <row r="239" spans="5:11">
      <c r="E239" s="315"/>
      <c r="F239" s="315"/>
      <c r="G239" s="315"/>
      <c r="H239" s="315"/>
      <c r="I239" s="315"/>
      <c r="J239" s="315"/>
      <c r="K239" s="315"/>
    </row>
    <row r="240" spans="5:11">
      <c r="E240" s="315"/>
      <c r="F240" s="315"/>
      <c r="G240" s="315"/>
      <c r="H240" s="315"/>
      <c r="I240" s="315"/>
      <c r="J240" s="315"/>
      <c r="K240" s="315"/>
    </row>
    <row r="241" spans="5:11">
      <c r="E241" s="315"/>
      <c r="F241" s="315"/>
      <c r="G241" s="315"/>
      <c r="H241" s="315"/>
      <c r="I241" s="315"/>
      <c r="J241" s="315"/>
      <c r="K241" s="315"/>
    </row>
    <row r="242" spans="5:11">
      <c r="E242" s="315"/>
      <c r="F242" s="315"/>
      <c r="G242" s="315"/>
      <c r="H242" s="315"/>
      <c r="I242" s="315"/>
      <c r="J242" s="315"/>
      <c r="K242" s="315"/>
    </row>
    <row r="243" spans="5:11">
      <c r="E243" s="315"/>
      <c r="F243" s="315"/>
      <c r="G243" s="315"/>
      <c r="H243" s="315"/>
      <c r="I243" s="315"/>
      <c r="J243" s="315"/>
      <c r="K243" s="315"/>
    </row>
    <row r="244" spans="5:11">
      <c r="E244" s="315"/>
      <c r="F244" s="315"/>
      <c r="G244" s="315"/>
      <c r="H244" s="315"/>
      <c r="I244" s="315"/>
      <c r="J244" s="315"/>
      <c r="K244" s="315"/>
    </row>
    <row r="245" spans="5:11">
      <c r="E245" s="315"/>
      <c r="F245" s="315"/>
      <c r="G245" s="315"/>
      <c r="H245" s="315"/>
      <c r="I245" s="315"/>
      <c r="J245" s="315"/>
      <c r="K245" s="315"/>
    </row>
    <row r="246" spans="5:11">
      <c r="E246" s="315"/>
      <c r="F246" s="315"/>
      <c r="G246" s="315"/>
      <c r="H246" s="315"/>
      <c r="I246" s="315"/>
      <c r="J246" s="315"/>
      <c r="K246" s="315"/>
    </row>
    <row r="247" spans="5:11">
      <c r="E247" s="315"/>
      <c r="F247" s="315"/>
      <c r="G247" s="315"/>
      <c r="H247" s="315"/>
      <c r="I247" s="315"/>
      <c r="J247" s="315"/>
      <c r="K247" s="315"/>
    </row>
    <row r="248" spans="5:11">
      <c r="E248" s="315"/>
      <c r="F248" s="315"/>
      <c r="G248" s="315"/>
      <c r="H248" s="315"/>
      <c r="I248" s="315"/>
      <c r="J248" s="315"/>
      <c r="K248" s="315"/>
    </row>
    <row r="249" spans="5:11">
      <c r="E249" s="315"/>
      <c r="F249" s="315"/>
      <c r="G249" s="315"/>
      <c r="H249" s="315"/>
      <c r="I249" s="315"/>
      <c r="J249" s="315"/>
      <c r="K249" s="315"/>
    </row>
    <row r="250" spans="5:11">
      <c r="E250" s="315"/>
      <c r="F250" s="315"/>
      <c r="G250" s="315"/>
      <c r="H250" s="315"/>
      <c r="I250" s="315"/>
      <c r="J250" s="315"/>
      <c r="K250" s="315"/>
    </row>
    <row r="251" spans="5:11">
      <c r="E251" s="315"/>
      <c r="F251" s="315"/>
      <c r="G251" s="315"/>
      <c r="H251" s="315"/>
      <c r="I251" s="315"/>
      <c r="J251" s="315"/>
      <c r="K251" s="315"/>
    </row>
    <row r="252" spans="5:11">
      <c r="E252" s="315"/>
      <c r="F252" s="315"/>
      <c r="G252" s="315"/>
      <c r="H252" s="315"/>
      <c r="I252" s="315"/>
      <c r="J252" s="315"/>
      <c r="K252" s="315"/>
    </row>
    <row r="253" spans="5:11">
      <c r="E253" s="315"/>
      <c r="F253" s="315"/>
      <c r="G253" s="315"/>
      <c r="H253" s="315"/>
      <c r="I253" s="315"/>
      <c r="J253" s="315"/>
      <c r="K253" s="315"/>
    </row>
    <row r="254" spans="5:11">
      <c r="E254" s="315"/>
      <c r="F254" s="315"/>
      <c r="G254" s="315"/>
      <c r="H254" s="315"/>
      <c r="I254" s="315"/>
      <c r="J254" s="315"/>
      <c r="K254" s="315"/>
    </row>
    <row r="255" spans="5:11">
      <c r="E255" s="315"/>
      <c r="F255" s="315"/>
      <c r="G255" s="315"/>
      <c r="H255" s="315"/>
      <c r="I255" s="315"/>
      <c r="J255" s="315"/>
      <c r="K255" s="315"/>
    </row>
    <row r="256" spans="5:11">
      <c r="E256" s="315"/>
      <c r="F256" s="315"/>
      <c r="G256" s="315"/>
      <c r="H256" s="315"/>
      <c r="I256" s="315"/>
      <c r="J256" s="315"/>
      <c r="K256" s="315"/>
    </row>
    <row r="257" spans="5:11">
      <c r="E257" s="315"/>
      <c r="F257" s="315"/>
      <c r="G257" s="315"/>
      <c r="H257" s="315"/>
      <c r="I257" s="315"/>
      <c r="J257" s="315"/>
      <c r="K257" s="315"/>
    </row>
    <row r="258" spans="5:11">
      <c r="E258" s="315"/>
      <c r="F258" s="315"/>
      <c r="G258" s="315"/>
      <c r="H258" s="315"/>
      <c r="I258" s="315"/>
      <c r="J258" s="315"/>
      <c r="K258" s="315"/>
    </row>
    <row r="259" spans="5:11">
      <c r="E259" s="315"/>
      <c r="F259" s="315"/>
      <c r="G259" s="315"/>
      <c r="H259" s="315"/>
      <c r="I259" s="315"/>
      <c r="J259" s="315"/>
      <c r="K259" s="315"/>
    </row>
    <row r="260" spans="5:11">
      <c r="E260" s="315"/>
      <c r="F260" s="315"/>
      <c r="G260" s="315"/>
      <c r="H260" s="315"/>
      <c r="I260" s="315"/>
      <c r="J260" s="315"/>
      <c r="K260" s="315"/>
    </row>
    <row r="261" spans="5:11">
      <c r="E261" s="315"/>
      <c r="F261" s="315"/>
      <c r="G261" s="315"/>
      <c r="H261" s="315"/>
      <c r="I261" s="315"/>
      <c r="J261" s="315"/>
      <c r="K261" s="315"/>
    </row>
    <row r="262" spans="5:11">
      <c r="E262" s="315"/>
      <c r="F262" s="315"/>
      <c r="G262" s="315"/>
      <c r="H262" s="315"/>
      <c r="I262" s="315"/>
      <c r="J262" s="315"/>
      <c r="K262" s="315"/>
    </row>
    <row r="263" spans="5:11">
      <c r="E263" s="315"/>
      <c r="F263" s="315"/>
      <c r="G263" s="315"/>
      <c r="H263" s="315"/>
      <c r="I263" s="315"/>
      <c r="J263" s="315"/>
      <c r="K263" s="315"/>
    </row>
    <row r="264" spans="5:11">
      <c r="E264" s="315"/>
      <c r="F264" s="315"/>
      <c r="G264" s="315"/>
      <c r="H264" s="315"/>
      <c r="I264" s="315"/>
      <c r="J264" s="315"/>
      <c r="K264" s="315"/>
    </row>
    <row r="265" spans="5:11">
      <c r="E265" s="315"/>
      <c r="F265" s="315"/>
      <c r="G265" s="315"/>
      <c r="H265" s="315"/>
      <c r="I265" s="315"/>
      <c r="J265" s="315"/>
      <c r="K265" s="315"/>
    </row>
    <row r="266" spans="5:11">
      <c r="E266" s="315"/>
      <c r="F266" s="315"/>
      <c r="G266" s="315"/>
      <c r="H266" s="315"/>
      <c r="I266" s="315"/>
      <c r="J266" s="315"/>
      <c r="K266" s="315"/>
    </row>
    <row r="267" spans="5:11">
      <c r="E267" s="315"/>
      <c r="F267" s="315"/>
      <c r="G267" s="315"/>
      <c r="H267" s="315"/>
      <c r="I267" s="315"/>
      <c r="J267" s="315"/>
      <c r="K267" s="315"/>
    </row>
    <row r="268" spans="5:11">
      <c r="E268" s="315"/>
      <c r="F268" s="315"/>
      <c r="G268" s="315"/>
      <c r="H268" s="315"/>
      <c r="I268" s="315"/>
      <c r="J268" s="315"/>
      <c r="K268" s="315"/>
    </row>
    <row r="269" spans="5:11">
      <c r="E269" s="315"/>
      <c r="F269" s="315"/>
      <c r="G269" s="315"/>
      <c r="H269" s="315"/>
      <c r="I269" s="315"/>
      <c r="J269" s="315"/>
      <c r="K269" s="315"/>
    </row>
    <row r="270" spans="5:11">
      <c r="E270" s="315"/>
      <c r="F270" s="315"/>
      <c r="G270" s="315"/>
      <c r="H270" s="315"/>
      <c r="I270" s="315"/>
      <c r="J270" s="315"/>
      <c r="K270" s="315"/>
    </row>
    <row r="271" spans="5:11">
      <c r="E271" s="315"/>
      <c r="F271" s="315"/>
      <c r="G271" s="315"/>
      <c r="H271" s="315"/>
      <c r="I271" s="315"/>
      <c r="J271" s="315"/>
      <c r="K271" s="315"/>
    </row>
    <row r="272" spans="5:11">
      <c r="E272" s="315"/>
      <c r="F272" s="315"/>
      <c r="G272" s="315"/>
      <c r="H272" s="315"/>
      <c r="I272" s="315"/>
      <c r="J272" s="315"/>
      <c r="K272" s="315"/>
    </row>
    <row r="273" spans="5:11">
      <c r="E273" s="315"/>
      <c r="F273" s="315"/>
      <c r="G273" s="315"/>
      <c r="H273" s="315"/>
      <c r="I273" s="315"/>
      <c r="J273" s="315"/>
      <c r="K273" s="315"/>
    </row>
    <row r="274" spans="5:11">
      <c r="E274" s="315"/>
      <c r="F274" s="315"/>
      <c r="G274" s="315"/>
      <c r="H274" s="315"/>
      <c r="I274" s="315"/>
      <c r="J274" s="315"/>
      <c r="K274" s="315"/>
    </row>
    <row r="275" spans="5:11">
      <c r="E275" s="315"/>
      <c r="F275" s="315"/>
      <c r="G275" s="315"/>
      <c r="H275" s="315"/>
      <c r="I275" s="315"/>
      <c r="J275" s="315"/>
      <c r="K275" s="315"/>
    </row>
    <row r="276" spans="5:11">
      <c r="E276" s="315"/>
      <c r="F276" s="315"/>
      <c r="G276" s="315"/>
      <c r="H276" s="315"/>
      <c r="I276" s="315"/>
      <c r="J276" s="315"/>
      <c r="K276" s="315"/>
    </row>
    <row r="277" spans="5:11">
      <c r="E277" s="315"/>
      <c r="F277" s="315"/>
      <c r="G277" s="315"/>
      <c r="H277" s="315"/>
      <c r="I277" s="315"/>
      <c r="J277" s="315"/>
      <c r="K277" s="315"/>
    </row>
    <row r="278" spans="5:11">
      <c r="E278" s="315"/>
      <c r="F278" s="315"/>
      <c r="G278" s="315"/>
      <c r="H278" s="315"/>
      <c r="I278" s="315"/>
      <c r="J278" s="315"/>
      <c r="K278" s="315"/>
    </row>
    <row r="279" spans="5:11">
      <c r="E279" s="315"/>
      <c r="F279" s="315"/>
      <c r="G279" s="315"/>
      <c r="H279" s="315"/>
      <c r="I279" s="315"/>
      <c r="J279" s="315"/>
      <c r="K279" s="315"/>
    </row>
    <row r="280" spans="5:11">
      <c r="E280" s="315"/>
      <c r="F280" s="315"/>
      <c r="G280" s="315"/>
      <c r="H280" s="315"/>
      <c r="I280" s="315"/>
      <c r="J280" s="315"/>
      <c r="K280" s="315"/>
    </row>
    <row r="281" spans="5:11">
      <c r="E281" s="315"/>
      <c r="F281" s="315"/>
      <c r="G281" s="315"/>
      <c r="H281" s="315"/>
      <c r="I281" s="315"/>
      <c r="J281" s="315"/>
      <c r="K281" s="315"/>
    </row>
    <row r="282" spans="5:11">
      <c r="E282" s="315"/>
      <c r="F282" s="315"/>
      <c r="G282" s="315"/>
      <c r="H282" s="315"/>
      <c r="I282" s="315"/>
      <c r="J282" s="315"/>
      <c r="K282" s="315"/>
    </row>
    <row r="283" spans="5:11">
      <c r="E283" s="315"/>
      <c r="F283" s="315"/>
      <c r="G283" s="315"/>
      <c r="H283" s="315"/>
      <c r="I283" s="315"/>
      <c r="J283" s="315"/>
      <c r="K283" s="315"/>
    </row>
    <row r="284" spans="5:11">
      <c r="E284" s="315"/>
      <c r="F284" s="315"/>
      <c r="G284" s="315"/>
      <c r="H284" s="315"/>
      <c r="I284" s="315"/>
      <c r="J284" s="315"/>
      <c r="K284" s="315"/>
    </row>
    <row r="285" spans="5:11">
      <c r="E285" s="315"/>
      <c r="F285" s="315"/>
      <c r="G285" s="315"/>
      <c r="H285" s="315"/>
      <c r="I285" s="315"/>
      <c r="J285" s="315"/>
      <c r="K285" s="315"/>
    </row>
    <row r="286" spans="5:11">
      <c r="E286" s="315"/>
      <c r="F286" s="315"/>
      <c r="G286" s="315"/>
      <c r="H286" s="315"/>
      <c r="I286" s="315"/>
      <c r="J286" s="315"/>
      <c r="K286" s="315"/>
    </row>
    <row r="287" spans="5:11">
      <c r="E287" s="315"/>
      <c r="F287" s="315"/>
      <c r="G287" s="315"/>
      <c r="H287" s="315"/>
      <c r="I287" s="315"/>
      <c r="J287" s="315"/>
      <c r="K287" s="315"/>
    </row>
    <row r="288" spans="5:11">
      <c r="E288" s="315"/>
      <c r="F288" s="315"/>
      <c r="G288" s="315"/>
      <c r="H288" s="315"/>
      <c r="I288" s="315"/>
      <c r="J288" s="315"/>
      <c r="K288" s="315"/>
    </row>
    <row r="289" spans="5:11">
      <c r="E289" s="315"/>
      <c r="F289" s="315"/>
      <c r="G289" s="315"/>
      <c r="H289" s="315"/>
      <c r="I289" s="315"/>
      <c r="J289" s="315"/>
      <c r="K289" s="315"/>
    </row>
    <row r="290" spans="5:11">
      <c r="E290" s="315"/>
      <c r="F290" s="315"/>
      <c r="G290" s="315"/>
      <c r="H290" s="315"/>
      <c r="I290" s="315"/>
      <c r="J290" s="315"/>
      <c r="K290" s="315"/>
    </row>
    <row r="291" spans="5:11">
      <c r="E291" s="315"/>
      <c r="F291" s="315"/>
      <c r="G291" s="315"/>
      <c r="H291" s="315"/>
      <c r="I291" s="315"/>
      <c r="J291" s="315"/>
      <c r="K291" s="315"/>
    </row>
    <row r="292" spans="5:11">
      <c r="E292" s="315"/>
      <c r="F292" s="315"/>
      <c r="G292" s="315"/>
      <c r="H292" s="315"/>
      <c r="I292" s="315"/>
      <c r="J292" s="315"/>
      <c r="K292" s="315"/>
    </row>
    <row r="293" spans="5:11">
      <c r="E293" s="315"/>
      <c r="F293" s="315"/>
      <c r="G293" s="315"/>
      <c r="H293" s="315"/>
      <c r="I293" s="315"/>
      <c r="J293" s="315"/>
      <c r="K293" s="315"/>
    </row>
    <row r="294" spans="5:11">
      <c r="E294" s="315"/>
      <c r="F294" s="315"/>
      <c r="G294" s="315"/>
      <c r="H294" s="315"/>
      <c r="I294" s="315"/>
      <c r="J294" s="315"/>
      <c r="K294" s="315"/>
    </row>
    <row r="295" spans="5:11">
      <c r="E295" s="315"/>
      <c r="F295" s="315"/>
      <c r="G295" s="315"/>
      <c r="H295" s="315"/>
      <c r="I295" s="315"/>
      <c r="J295" s="315"/>
      <c r="K295" s="315"/>
    </row>
    <row r="296" spans="5:11">
      <c r="E296" s="315"/>
      <c r="F296" s="315"/>
      <c r="G296" s="315"/>
      <c r="H296" s="315"/>
      <c r="I296" s="315"/>
      <c r="J296" s="315"/>
      <c r="K296" s="315"/>
    </row>
    <row r="297" spans="5:11">
      <c r="E297" s="315"/>
      <c r="F297" s="315"/>
      <c r="G297" s="315"/>
      <c r="H297" s="315"/>
      <c r="I297" s="315"/>
      <c r="J297" s="315"/>
      <c r="K297" s="315"/>
    </row>
    <row r="298" spans="5:11">
      <c r="E298" s="315"/>
      <c r="F298" s="315"/>
      <c r="G298" s="315"/>
      <c r="H298" s="315"/>
      <c r="I298" s="315"/>
      <c r="J298" s="315"/>
      <c r="K298" s="315"/>
    </row>
    <row r="299" spans="5:11">
      <c r="E299" s="315"/>
      <c r="F299" s="315"/>
      <c r="G299" s="315"/>
      <c r="H299" s="315"/>
      <c r="I299" s="315"/>
      <c r="J299" s="315"/>
      <c r="K299" s="315"/>
    </row>
    <row r="300" spans="5:11">
      <c r="E300" s="315"/>
      <c r="F300" s="315"/>
      <c r="G300" s="315"/>
      <c r="H300" s="315"/>
      <c r="I300" s="315"/>
      <c r="J300" s="315"/>
      <c r="K300" s="315"/>
    </row>
    <row r="301" spans="5:11">
      <c r="E301" s="315"/>
      <c r="F301" s="315"/>
      <c r="G301" s="315"/>
      <c r="H301" s="315"/>
      <c r="I301" s="315"/>
      <c r="J301" s="315"/>
      <c r="K301" s="315"/>
    </row>
    <row r="302" spans="5:11">
      <c r="E302" s="315"/>
      <c r="F302" s="315"/>
      <c r="G302" s="315"/>
      <c r="H302" s="315"/>
      <c r="I302" s="315"/>
      <c r="J302" s="315"/>
      <c r="K302" s="315"/>
    </row>
    <row r="303" spans="5:11">
      <c r="E303" s="315"/>
      <c r="F303" s="315"/>
      <c r="G303" s="315"/>
      <c r="H303" s="315"/>
      <c r="I303" s="315"/>
      <c r="J303" s="315"/>
      <c r="K303" s="315"/>
    </row>
    <row r="304" spans="5:11">
      <c r="E304" s="315"/>
      <c r="F304" s="315"/>
      <c r="G304" s="315"/>
      <c r="H304" s="315"/>
      <c r="I304" s="315"/>
      <c r="J304" s="315"/>
      <c r="K304" s="315"/>
    </row>
    <row r="305" spans="5:11">
      <c r="E305" s="315"/>
      <c r="F305" s="315"/>
      <c r="G305" s="315"/>
      <c r="H305" s="315"/>
      <c r="I305" s="315"/>
      <c r="J305" s="315"/>
      <c r="K305" s="315"/>
    </row>
    <row r="306" spans="5:11">
      <c r="E306" s="315"/>
      <c r="F306" s="315"/>
      <c r="G306" s="315"/>
      <c r="H306" s="315"/>
      <c r="I306" s="315"/>
      <c r="J306" s="315"/>
      <c r="K306" s="315"/>
    </row>
    <row r="307" spans="5:11">
      <c r="E307" s="315"/>
      <c r="F307" s="315"/>
      <c r="G307" s="315"/>
      <c r="H307" s="315"/>
      <c r="I307" s="315"/>
      <c r="J307" s="315"/>
      <c r="K307" s="315"/>
    </row>
    <row r="308" spans="5:11">
      <c r="E308" s="315"/>
      <c r="F308" s="315"/>
      <c r="G308" s="315"/>
      <c r="H308" s="315"/>
      <c r="I308" s="315"/>
      <c r="J308" s="315"/>
      <c r="K308" s="315"/>
    </row>
    <row r="309" spans="5:11">
      <c r="E309" s="315"/>
      <c r="F309" s="315"/>
      <c r="G309" s="315"/>
      <c r="H309" s="315"/>
      <c r="I309" s="315"/>
      <c r="J309" s="315"/>
      <c r="K309" s="315"/>
    </row>
    <row r="310" spans="5:11">
      <c r="E310" s="315"/>
      <c r="F310" s="315"/>
      <c r="G310" s="315"/>
      <c r="H310" s="315"/>
      <c r="I310" s="315"/>
      <c r="J310" s="315"/>
      <c r="K310" s="315"/>
    </row>
    <row r="311" spans="5:11">
      <c r="E311" s="315"/>
      <c r="F311" s="315"/>
      <c r="G311" s="315"/>
      <c r="H311" s="315"/>
      <c r="I311" s="315"/>
      <c r="J311" s="315"/>
      <c r="K311" s="315"/>
    </row>
    <row r="312" spans="5:11">
      <c r="E312" s="315"/>
      <c r="F312" s="315"/>
      <c r="G312" s="315"/>
      <c r="H312" s="315"/>
      <c r="I312" s="315"/>
      <c r="J312" s="315"/>
      <c r="K312" s="315"/>
    </row>
    <row r="313" spans="5:11">
      <c r="E313" s="315"/>
      <c r="F313" s="315"/>
      <c r="G313" s="315"/>
      <c r="H313" s="315"/>
      <c r="I313" s="315"/>
      <c r="J313" s="315"/>
      <c r="K313" s="315"/>
    </row>
    <row r="314" spans="5:11">
      <c r="E314" s="315"/>
      <c r="F314" s="315"/>
      <c r="G314" s="315"/>
      <c r="H314" s="315"/>
      <c r="I314" s="315"/>
      <c r="J314" s="315"/>
      <c r="K314" s="315"/>
    </row>
    <row r="315" spans="5:11">
      <c r="E315" s="315"/>
      <c r="F315" s="315"/>
      <c r="G315" s="315"/>
      <c r="H315" s="315"/>
      <c r="I315" s="315"/>
      <c r="J315" s="315"/>
      <c r="K315" s="315"/>
    </row>
    <row r="316" spans="5:11">
      <c r="E316" s="315"/>
      <c r="F316" s="315"/>
      <c r="G316" s="315"/>
      <c r="H316" s="315"/>
      <c r="I316" s="315"/>
      <c r="J316" s="315"/>
      <c r="K316" s="315"/>
    </row>
    <row r="317" spans="5:11">
      <c r="E317" s="315"/>
      <c r="F317" s="315"/>
      <c r="G317" s="315"/>
      <c r="H317" s="315"/>
      <c r="I317" s="315"/>
      <c r="J317" s="315"/>
      <c r="K317" s="315"/>
    </row>
    <row r="318" spans="5:11">
      <c r="E318" s="315"/>
      <c r="F318" s="315"/>
      <c r="G318" s="315"/>
      <c r="H318" s="315"/>
      <c r="I318" s="315"/>
      <c r="J318" s="315"/>
      <c r="K318" s="315"/>
    </row>
    <row r="319" spans="5:11">
      <c r="E319" s="315"/>
      <c r="F319" s="315"/>
      <c r="G319" s="315"/>
      <c r="H319" s="315"/>
      <c r="I319" s="315"/>
      <c r="J319" s="315"/>
      <c r="K319" s="315"/>
    </row>
    <row r="320" spans="5:11">
      <c r="E320" s="315"/>
      <c r="F320" s="315"/>
      <c r="G320" s="315"/>
      <c r="H320" s="315"/>
      <c r="I320" s="315"/>
      <c r="J320" s="315"/>
      <c r="K320" s="315"/>
    </row>
    <row r="321" spans="5:11">
      <c r="E321" s="315"/>
      <c r="F321" s="315"/>
      <c r="G321" s="315"/>
      <c r="H321" s="315"/>
      <c r="I321" s="315"/>
      <c r="J321" s="315"/>
      <c r="K321" s="315"/>
    </row>
    <row r="322" spans="5:11">
      <c r="E322" s="315"/>
      <c r="F322" s="315"/>
      <c r="G322" s="315"/>
      <c r="H322" s="315"/>
      <c r="I322" s="315"/>
      <c r="J322" s="315"/>
      <c r="K322" s="315"/>
    </row>
    <row r="323" spans="5:11">
      <c r="E323" s="315"/>
      <c r="F323" s="315"/>
      <c r="G323" s="315"/>
      <c r="H323" s="315"/>
      <c r="I323" s="315"/>
      <c r="J323" s="315"/>
      <c r="K323" s="315"/>
    </row>
    <row r="324" spans="5:11">
      <c r="E324" s="315"/>
      <c r="F324" s="315"/>
      <c r="G324" s="315"/>
      <c r="H324" s="315"/>
      <c r="I324" s="315"/>
      <c r="J324" s="315"/>
      <c r="K324" s="315"/>
    </row>
    <row r="325" spans="5:11">
      <c r="E325" s="315"/>
      <c r="F325" s="315"/>
      <c r="G325" s="315"/>
      <c r="H325" s="315"/>
      <c r="I325" s="315"/>
      <c r="J325" s="315"/>
      <c r="K325" s="315"/>
    </row>
    <row r="326" spans="5:11">
      <c r="E326" s="315"/>
      <c r="F326" s="315"/>
      <c r="G326" s="315"/>
      <c r="H326" s="315"/>
      <c r="I326" s="315"/>
      <c r="J326" s="315"/>
      <c r="K326" s="315"/>
    </row>
    <row r="327" spans="5:11">
      <c r="E327" s="315"/>
      <c r="F327" s="315"/>
      <c r="G327" s="315"/>
      <c r="H327" s="315"/>
      <c r="I327" s="315"/>
      <c r="J327" s="315"/>
      <c r="K327" s="315"/>
    </row>
    <row r="328" spans="5:11">
      <c r="E328" s="315"/>
      <c r="F328" s="315"/>
      <c r="G328" s="315"/>
      <c r="H328" s="315"/>
      <c r="I328" s="315"/>
      <c r="J328" s="315"/>
      <c r="K328" s="315"/>
    </row>
    <row r="329" spans="5:11">
      <c r="E329" s="315"/>
      <c r="F329" s="315"/>
      <c r="G329" s="315"/>
      <c r="H329" s="315"/>
      <c r="I329" s="315"/>
      <c r="J329" s="315"/>
      <c r="K329" s="315"/>
    </row>
    <row r="330" spans="5:11">
      <c r="E330" s="315"/>
      <c r="F330" s="315"/>
      <c r="G330" s="315"/>
      <c r="H330" s="315"/>
      <c r="I330" s="315"/>
      <c r="J330" s="315"/>
      <c r="K330" s="315"/>
    </row>
    <row r="331" spans="5:11">
      <c r="E331" s="315"/>
      <c r="F331" s="315"/>
      <c r="G331" s="315"/>
      <c r="H331" s="315"/>
      <c r="I331" s="315"/>
      <c r="J331" s="315"/>
      <c r="K331" s="315"/>
    </row>
    <row r="332" spans="5:11">
      <c r="E332" s="315"/>
      <c r="F332" s="315"/>
      <c r="G332" s="315"/>
      <c r="H332" s="315"/>
      <c r="I332" s="315"/>
      <c r="J332" s="315"/>
      <c r="K332" s="315"/>
    </row>
    <row r="333" spans="5:11">
      <c r="E333" s="315"/>
      <c r="F333" s="315"/>
      <c r="G333" s="315"/>
      <c r="H333" s="315"/>
      <c r="I333" s="315"/>
      <c r="J333" s="315"/>
      <c r="K333" s="315"/>
    </row>
    <row r="334" spans="5:11">
      <c r="E334" s="315"/>
      <c r="F334" s="315"/>
      <c r="G334" s="315"/>
      <c r="H334" s="315"/>
      <c r="I334" s="315"/>
      <c r="J334" s="315"/>
      <c r="K334" s="315"/>
    </row>
    <row r="335" spans="5:11">
      <c r="E335" s="315"/>
      <c r="F335" s="315"/>
      <c r="G335" s="315"/>
      <c r="H335" s="315"/>
      <c r="I335" s="315"/>
      <c r="J335" s="315"/>
      <c r="K335" s="315"/>
    </row>
    <row r="336" spans="5:11">
      <c r="E336" s="315"/>
      <c r="F336" s="315"/>
      <c r="G336" s="315"/>
      <c r="H336" s="315"/>
      <c r="I336" s="315"/>
      <c r="J336" s="315"/>
      <c r="K336" s="315"/>
    </row>
    <row r="337" spans="5:11">
      <c r="E337" s="315"/>
      <c r="F337" s="315"/>
      <c r="G337" s="315"/>
      <c r="H337" s="315"/>
      <c r="I337" s="315"/>
      <c r="J337" s="315"/>
      <c r="K337" s="315"/>
    </row>
    <row r="338" spans="5:11">
      <c r="E338" s="315"/>
      <c r="F338" s="315"/>
      <c r="G338" s="315"/>
      <c r="H338" s="315"/>
      <c r="I338" s="315"/>
      <c r="J338" s="315"/>
      <c r="K338" s="315"/>
    </row>
    <row r="339" spans="5:11">
      <c r="E339" s="315"/>
      <c r="F339" s="315"/>
      <c r="G339" s="315"/>
      <c r="H339" s="315"/>
      <c r="I339" s="315"/>
      <c r="J339" s="315"/>
      <c r="K339" s="315"/>
    </row>
    <row r="340" spans="5:11">
      <c r="E340" s="315"/>
      <c r="F340" s="315"/>
      <c r="G340" s="315"/>
      <c r="H340" s="315"/>
      <c r="I340" s="315"/>
      <c r="J340" s="315"/>
      <c r="K340" s="315"/>
    </row>
    <row r="341" spans="5:11">
      <c r="E341" s="315"/>
      <c r="F341" s="315"/>
      <c r="G341" s="315"/>
      <c r="H341" s="315"/>
      <c r="I341" s="315"/>
      <c r="J341" s="315"/>
      <c r="K341" s="315"/>
    </row>
    <row r="342" spans="5:11">
      <c r="E342" s="315"/>
      <c r="F342" s="315"/>
      <c r="G342" s="315"/>
      <c r="H342" s="315"/>
      <c r="I342" s="315"/>
      <c r="J342" s="315"/>
      <c r="K342" s="315"/>
    </row>
    <row r="343" spans="5:11">
      <c r="E343" s="315"/>
      <c r="F343" s="315"/>
      <c r="G343" s="315"/>
      <c r="H343" s="315"/>
      <c r="I343" s="315"/>
      <c r="J343" s="315"/>
      <c r="K343" s="315"/>
    </row>
    <row r="344" spans="5:11">
      <c r="E344" s="315"/>
      <c r="F344" s="315"/>
      <c r="G344" s="315"/>
      <c r="H344" s="315"/>
      <c r="I344" s="315"/>
      <c r="J344" s="315"/>
      <c r="K344" s="315"/>
    </row>
    <row r="345" spans="5:11">
      <c r="E345" s="315"/>
      <c r="F345" s="315"/>
      <c r="G345" s="315"/>
      <c r="H345" s="315"/>
      <c r="I345" s="315"/>
      <c r="J345" s="315"/>
      <c r="K345" s="315"/>
    </row>
    <row r="346" spans="5:11">
      <c r="E346" s="315"/>
      <c r="F346" s="315"/>
      <c r="G346" s="315"/>
      <c r="H346" s="315"/>
      <c r="I346" s="315"/>
      <c r="J346" s="315"/>
      <c r="K346" s="315"/>
    </row>
    <row r="347" spans="5:11">
      <c r="E347" s="315"/>
      <c r="F347" s="315"/>
      <c r="G347" s="315"/>
      <c r="H347" s="315"/>
      <c r="I347" s="315"/>
      <c r="J347" s="315"/>
      <c r="K347" s="315"/>
    </row>
    <row r="348" spans="5:11">
      <c r="E348" s="315"/>
      <c r="F348" s="315"/>
      <c r="G348" s="315"/>
      <c r="H348" s="315"/>
      <c r="I348" s="315"/>
      <c r="J348" s="315"/>
      <c r="K348" s="315"/>
    </row>
    <row r="349" spans="5:11">
      <c r="E349" s="315"/>
      <c r="F349" s="315"/>
      <c r="G349" s="315"/>
      <c r="H349" s="315"/>
      <c r="I349" s="315"/>
      <c r="J349" s="315"/>
      <c r="K349" s="315"/>
    </row>
    <row r="350" spans="5:11">
      <c r="E350" s="315"/>
      <c r="F350" s="315"/>
      <c r="G350" s="315"/>
      <c r="H350" s="315"/>
      <c r="I350" s="315"/>
      <c r="J350" s="315"/>
      <c r="K350" s="315"/>
    </row>
    <row r="351" spans="5:11">
      <c r="E351" s="315"/>
      <c r="F351" s="315"/>
      <c r="G351" s="315"/>
      <c r="H351" s="315"/>
      <c r="I351" s="315"/>
      <c r="J351" s="315"/>
      <c r="K351" s="315"/>
    </row>
    <row r="352" spans="5:11">
      <c r="E352" s="315"/>
      <c r="F352" s="315"/>
      <c r="G352" s="315"/>
      <c r="H352" s="315"/>
      <c r="I352" s="315"/>
      <c r="J352" s="315"/>
      <c r="K352" s="315"/>
    </row>
    <row r="353" spans="5:11">
      <c r="E353" s="315"/>
      <c r="F353" s="315"/>
      <c r="G353" s="315"/>
      <c r="H353" s="315"/>
      <c r="I353" s="315"/>
      <c r="J353" s="315"/>
      <c r="K353" s="315"/>
    </row>
    <row r="354" spans="5:11">
      <c r="E354" s="315"/>
      <c r="F354" s="315"/>
      <c r="G354" s="315"/>
      <c r="H354" s="315"/>
      <c r="I354" s="315"/>
      <c r="J354" s="315"/>
      <c r="K354" s="315"/>
    </row>
    <row r="355" spans="5:11">
      <c r="E355" s="315"/>
      <c r="F355" s="315"/>
      <c r="G355" s="315"/>
      <c r="H355" s="315"/>
      <c r="I355" s="315"/>
      <c r="J355" s="315"/>
      <c r="K355" s="315"/>
    </row>
    <row r="356" spans="5:11">
      <c r="E356" s="315"/>
      <c r="F356" s="315"/>
      <c r="G356" s="315"/>
      <c r="H356" s="315"/>
      <c r="I356" s="315"/>
      <c r="J356" s="315"/>
      <c r="K356" s="315"/>
    </row>
    <row r="357" spans="5:11">
      <c r="E357" s="315"/>
      <c r="F357" s="315"/>
      <c r="G357" s="315"/>
      <c r="H357" s="315"/>
      <c r="I357" s="315"/>
      <c r="J357" s="315"/>
      <c r="K357" s="315"/>
    </row>
    <row r="358" spans="5:11">
      <c r="E358" s="315"/>
      <c r="F358" s="315"/>
      <c r="G358" s="315"/>
      <c r="H358" s="315"/>
      <c r="I358" s="315"/>
      <c r="J358" s="315"/>
      <c r="K358" s="315"/>
    </row>
    <row r="359" spans="5:11">
      <c r="E359" s="315"/>
      <c r="F359" s="315"/>
      <c r="G359" s="315"/>
      <c r="H359" s="315"/>
      <c r="I359" s="315"/>
      <c r="J359" s="315"/>
      <c r="K359" s="315"/>
    </row>
    <row r="360" spans="5:11">
      <c r="E360" s="315"/>
      <c r="F360" s="315"/>
      <c r="G360" s="315"/>
      <c r="H360" s="315"/>
      <c r="I360" s="315"/>
      <c r="J360" s="315"/>
      <c r="K360" s="315"/>
    </row>
    <row r="361" spans="5:11">
      <c r="E361" s="315"/>
      <c r="F361" s="315"/>
      <c r="G361" s="315"/>
      <c r="H361" s="315"/>
      <c r="I361" s="315"/>
      <c r="J361" s="315"/>
      <c r="K361" s="315"/>
    </row>
    <row r="362" spans="5:11">
      <c r="E362" s="315"/>
      <c r="F362" s="315"/>
      <c r="G362" s="315"/>
      <c r="H362" s="315"/>
      <c r="I362" s="315"/>
      <c r="J362" s="315"/>
      <c r="K362" s="315"/>
    </row>
    <row r="363" spans="5:11">
      <c r="E363" s="315"/>
      <c r="F363" s="315"/>
      <c r="G363" s="315"/>
      <c r="H363" s="315"/>
      <c r="I363" s="315"/>
      <c r="J363" s="315"/>
      <c r="K363" s="315"/>
    </row>
    <row r="364" spans="5:11">
      <c r="E364" s="315"/>
      <c r="F364" s="315"/>
      <c r="G364" s="315"/>
      <c r="H364" s="315"/>
      <c r="I364" s="315"/>
      <c r="J364" s="315"/>
      <c r="K364" s="315"/>
    </row>
    <row r="365" spans="5:11">
      <c r="E365" s="315"/>
      <c r="F365" s="315"/>
      <c r="G365" s="315"/>
      <c r="H365" s="315"/>
      <c r="I365" s="315"/>
      <c r="J365" s="315"/>
      <c r="K365" s="315"/>
    </row>
    <row r="366" spans="5:11">
      <c r="E366" s="315"/>
      <c r="F366" s="315"/>
      <c r="G366" s="315"/>
      <c r="H366" s="315"/>
      <c r="I366" s="315"/>
      <c r="J366" s="315"/>
      <c r="K366" s="315"/>
    </row>
    <row r="367" spans="5:11">
      <c r="E367" s="315"/>
      <c r="F367" s="315"/>
      <c r="G367" s="315"/>
      <c r="H367" s="315"/>
      <c r="I367" s="315"/>
      <c r="J367" s="315"/>
      <c r="K367" s="315"/>
    </row>
    <row r="368" spans="5:11">
      <c r="E368" s="315"/>
      <c r="F368" s="315"/>
      <c r="G368" s="315"/>
      <c r="H368" s="315"/>
      <c r="I368" s="315"/>
      <c r="J368" s="315"/>
      <c r="K368" s="315"/>
    </row>
    <row r="369" spans="5:11">
      <c r="E369" s="315"/>
      <c r="F369" s="315"/>
      <c r="G369" s="315"/>
      <c r="H369" s="315"/>
      <c r="I369" s="315"/>
      <c r="J369" s="315"/>
      <c r="K369" s="315"/>
    </row>
    <row r="370" spans="5:11">
      <c r="E370" s="315"/>
      <c r="F370" s="315"/>
      <c r="G370" s="315"/>
      <c r="H370" s="315"/>
      <c r="I370" s="315"/>
      <c r="J370" s="315"/>
      <c r="K370" s="315"/>
    </row>
    <row r="371" spans="5:11">
      <c r="E371" s="315"/>
      <c r="F371" s="315"/>
      <c r="G371" s="315"/>
      <c r="H371" s="315"/>
      <c r="I371" s="315"/>
      <c r="J371" s="315"/>
      <c r="K371" s="315"/>
    </row>
    <row r="372" spans="5:11">
      <c r="E372" s="315"/>
      <c r="F372" s="315"/>
      <c r="G372" s="315"/>
      <c r="H372" s="315"/>
      <c r="I372" s="315"/>
      <c r="J372" s="315"/>
      <c r="K372" s="315"/>
    </row>
    <row r="373" spans="5:11">
      <c r="E373" s="315"/>
      <c r="F373" s="315"/>
      <c r="G373" s="315"/>
      <c r="H373" s="315"/>
      <c r="I373" s="315"/>
      <c r="J373" s="315"/>
      <c r="K373" s="315"/>
    </row>
    <row r="374" spans="5:11">
      <c r="E374" s="315"/>
      <c r="F374" s="315"/>
      <c r="G374" s="315"/>
      <c r="H374" s="315"/>
      <c r="I374" s="315"/>
      <c r="J374" s="315"/>
      <c r="K374" s="315"/>
    </row>
    <row r="375" spans="5:11">
      <c r="E375" s="315"/>
      <c r="F375" s="315"/>
      <c r="G375" s="315"/>
      <c r="H375" s="315"/>
      <c r="I375" s="315"/>
      <c r="J375" s="315"/>
      <c r="K375" s="315"/>
    </row>
    <row r="376" spans="5:11">
      <c r="E376" s="315"/>
      <c r="F376" s="315"/>
      <c r="G376" s="315"/>
      <c r="H376" s="315"/>
      <c r="I376" s="315"/>
      <c r="J376" s="315"/>
      <c r="K376" s="315"/>
    </row>
    <row r="377" spans="5:11">
      <c r="E377" s="315"/>
      <c r="F377" s="315"/>
      <c r="G377" s="315"/>
      <c r="H377" s="315"/>
      <c r="I377" s="315"/>
      <c r="J377" s="315"/>
      <c r="K377" s="315"/>
    </row>
    <row r="378" spans="5:11">
      <c r="E378" s="315"/>
      <c r="F378" s="315"/>
      <c r="G378" s="315"/>
      <c r="H378" s="315"/>
      <c r="I378" s="315"/>
      <c r="J378" s="315"/>
      <c r="K378" s="315"/>
    </row>
    <row r="379" spans="5:11">
      <c r="E379" s="315"/>
      <c r="F379" s="315"/>
      <c r="G379" s="315"/>
      <c r="H379" s="315"/>
      <c r="I379" s="315"/>
      <c r="J379" s="315"/>
      <c r="K379" s="315"/>
    </row>
    <row r="380" spans="5:11">
      <c r="E380" s="315"/>
      <c r="F380" s="315"/>
      <c r="G380" s="315"/>
      <c r="H380" s="315"/>
      <c r="I380" s="315"/>
      <c r="J380" s="315"/>
      <c r="K380" s="315"/>
    </row>
    <row r="381" spans="5:11">
      <c r="E381" s="315"/>
      <c r="F381" s="315"/>
      <c r="G381" s="315"/>
      <c r="H381" s="315"/>
      <c r="I381" s="315"/>
      <c r="J381" s="315"/>
      <c r="K381" s="315"/>
    </row>
    <row r="382" spans="5:11">
      <c r="E382" s="315"/>
      <c r="F382" s="315"/>
      <c r="G382" s="315"/>
      <c r="H382" s="315"/>
      <c r="I382" s="315"/>
      <c r="J382" s="315"/>
      <c r="K382" s="315"/>
    </row>
    <row r="383" spans="5:11">
      <c r="E383" s="315"/>
      <c r="F383" s="315"/>
      <c r="G383" s="315"/>
      <c r="H383" s="315"/>
      <c r="I383" s="315"/>
      <c r="J383" s="315"/>
      <c r="K383" s="315"/>
    </row>
    <row r="384" spans="5:11">
      <c r="E384" s="315"/>
      <c r="F384" s="315"/>
      <c r="G384" s="315"/>
      <c r="H384" s="315"/>
      <c r="I384" s="315"/>
      <c r="J384" s="315"/>
      <c r="K384" s="315"/>
    </row>
    <row r="385" spans="5:11">
      <c r="E385" s="315"/>
      <c r="F385" s="315"/>
      <c r="G385" s="315"/>
      <c r="H385" s="315"/>
      <c r="I385" s="315"/>
      <c r="J385" s="315"/>
      <c r="K385" s="315"/>
    </row>
    <row r="386" spans="5:11">
      <c r="E386" s="315"/>
      <c r="F386" s="315"/>
      <c r="G386" s="315"/>
      <c r="H386" s="315"/>
      <c r="I386" s="315"/>
      <c r="J386" s="315"/>
      <c r="K386" s="315"/>
    </row>
    <row r="387" spans="5:11">
      <c r="E387" s="315"/>
      <c r="F387" s="315"/>
      <c r="G387" s="315"/>
      <c r="H387" s="315"/>
      <c r="I387" s="315"/>
      <c r="J387" s="315"/>
      <c r="K387" s="315"/>
    </row>
    <row r="388" spans="5:11">
      <c r="E388" s="315"/>
      <c r="F388" s="315"/>
      <c r="G388" s="315"/>
      <c r="H388" s="315"/>
      <c r="I388" s="315"/>
      <c r="J388" s="315"/>
      <c r="K388" s="315"/>
    </row>
    <row r="389" spans="5:11">
      <c r="E389" s="315"/>
      <c r="F389" s="315"/>
      <c r="G389" s="315"/>
      <c r="H389" s="315"/>
      <c r="I389" s="315"/>
      <c r="J389" s="315"/>
      <c r="K389" s="315"/>
    </row>
    <row r="390" spans="5:11">
      <c r="E390" s="315"/>
      <c r="F390" s="315"/>
      <c r="G390" s="315"/>
      <c r="H390" s="315"/>
      <c r="I390" s="315"/>
      <c r="J390" s="315"/>
      <c r="K390" s="315"/>
    </row>
    <row r="391" spans="5:11">
      <c r="E391" s="315"/>
      <c r="F391" s="315"/>
      <c r="G391" s="315"/>
      <c r="H391" s="315"/>
      <c r="I391" s="315"/>
      <c r="J391" s="315"/>
      <c r="K391" s="315"/>
    </row>
    <row r="392" spans="5:11">
      <c r="E392" s="315"/>
      <c r="F392" s="315"/>
      <c r="G392" s="315"/>
      <c r="H392" s="315"/>
      <c r="I392" s="315"/>
      <c r="J392" s="315"/>
      <c r="K392" s="315"/>
    </row>
    <row r="393" spans="5:11">
      <c r="E393" s="315"/>
      <c r="F393" s="315"/>
      <c r="G393" s="315"/>
      <c r="H393" s="315"/>
      <c r="I393" s="315"/>
      <c r="J393" s="315"/>
      <c r="K393" s="315"/>
    </row>
    <row r="394" spans="5:11">
      <c r="E394" s="315"/>
      <c r="F394" s="315"/>
      <c r="G394" s="315"/>
      <c r="H394" s="315"/>
      <c r="I394" s="315"/>
      <c r="J394" s="315"/>
      <c r="K394" s="315"/>
    </row>
    <row r="395" spans="5:11">
      <c r="E395" s="315"/>
      <c r="F395" s="315"/>
      <c r="G395" s="315"/>
      <c r="H395" s="315"/>
      <c r="I395" s="315"/>
      <c r="J395" s="315"/>
      <c r="K395" s="315"/>
    </row>
    <row r="396" spans="5:11">
      <c r="E396" s="315"/>
      <c r="F396" s="315"/>
      <c r="G396" s="315"/>
      <c r="H396" s="315"/>
      <c r="I396" s="315"/>
      <c r="J396" s="315"/>
      <c r="K396" s="315"/>
    </row>
    <row r="397" spans="5:11">
      <c r="E397" s="315"/>
      <c r="F397" s="315"/>
      <c r="G397" s="315"/>
      <c r="H397" s="315"/>
      <c r="I397" s="315"/>
      <c r="J397" s="315"/>
      <c r="K397" s="315"/>
    </row>
    <row r="398" spans="5:11">
      <c r="E398" s="315"/>
      <c r="F398" s="315"/>
      <c r="G398" s="315"/>
      <c r="H398" s="315"/>
      <c r="I398" s="315"/>
      <c r="J398" s="315"/>
      <c r="K398" s="315"/>
    </row>
    <row r="399" spans="5:11">
      <c r="E399" s="315"/>
      <c r="F399" s="315"/>
      <c r="G399" s="315"/>
      <c r="H399" s="315"/>
      <c r="I399" s="315"/>
      <c r="J399" s="315"/>
      <c r="K399" s="315"/>
    </row>
    <row r="400" spans="5:11">
      <c r="E400" s="315"/>
      <c r="F400" s="315"/>
      <c r="G400" s="315"/>
      <c r="H400" s="315"/>
      <c r="I400" s="315"/>
      <c r="J400" s="315"/>
      <c r="K400" s="315"/>
    </row>
    <row r="401" spans="5:11">
      <c r="E401" s="315"/>
      <c r="F401" s="315"/>
      <c r="G401" s="315"/>
      <c r="H401" s="315"/>
      <c r="I401" s="315"/>
      <c r="J401" s="315"/>
      <c r="K401" s="315"/>
    </row>
    <row r="402" spans="5:11">
      <c r="E402" s="315"/>
      <c r="F402" s="315"/>
      <c r="G402" s="315"/>
      <c r="H402" s="315"/>
      <c r="I402" s="315"/>
      <c r="J402" s="315"/>
      <c r="K402" s="315"/>
    </row>
    <row r="403" spans="5:11">
      <c r="E403" s="315"/>
      <c r="F403" s="315"/>
      <c r="G403" s="315"/>
      <c r="H403" s="315"/>
      <c r="I403" s="315"/>
      <c r="J403" s="315"/>
      <c r="K403" s="315"/>
    </row>
    <row r="404" spans="5:11">
      <c r="E404" s="315"/>
      <c r="F404" s="315"/>
      <c r="G404" s="315"/>
      <c r="H404" s="315"/>
      <c r="I404" s="315"/>
      <c r="J404" s="315"/>
      <c r="K404" s="315"/>
    </row>
    <row r="405" spans="5:11">
      <c r="E405" s="315"/>
      <c r="F405" s="315"/>
      <c r="G405" s="315"/>
      <c r="H405" s="315"/>
      <c r="I405" s="315"/>
      <c r="J405" s="315"/>
      <c r="K405" s="315"/>
    </row>
    <row r="406" spans="5:11">
      <c r="E406" s="315"/>
      <c r="F406" s="315"/>
      <c r="G406" s="315"/>
      <c r="H406" s="315"/>
      <c r="I406" s="315"/>
      <c r="J406" s="315"/>
      <c r="K406" s="315"/>
    </row>
    <row r="407" spans="5:11">
      <c r="E407" s="315"/>
      <c r="F407" s="315"/>
      <c r="G407" s="315"/>
      <c r="H407" s="315"/>
      <c r="I407" s="315"/>
      <c r="J407" s="315"/>
      <c r="K407" s="315"/>
    </row>
    <row r="408" spans="5:11">
      <c r="E408" s="315"/>
      <c r="F408" s="315"/>
      <c r="G408" s="315"/>
      <c r="H408" s="315"/>
      <c r="I408" s="315"/>
      <c r="J408" s="315"/>
      <c r="K408" s="315"/>
    </row>
    <row r="409" spans="5:11">
      <c r="E409" s="315"/>
      <c r="F409" s="315"/>
      <c r="G409" s="315"/>
      <c r="H409" s="315"/>
      <c r="I409" s="315"/>
      <c r="J409" s="315"/>
      <c r="K409" s="315"/>
    </row>
    <row r="410" spans="5:11">
      <c r="E410" s="315"/>
      <c r="F410" s="315"/>
      <c r="G410" s="315"/>
      <c r="H410" s="315"/>
      <c r="I410" s="315"/>
      <c r="J410" s="315"/>
      <c r="K410" s="315"/>
    </row>
    <row r="411" spans="5:11">
      <c r="E411" s="315"/>
      <c r="F411" s="315"/>
      <c r="G411" s="315"/>
      <c r="H411" s="315"/>
      <c r="I411" s="315"/>
      <c r="J411" s="315"/>
      <c r="K411" s="315"/>
    </row>
    <row r="412" spans="5:11">
      <c r="E412" s="315"/>
      <c r="F412" s="315"/>
      <c r="G412" s="315"/>
      <c r="H412" s="315"/>
      <c r="I412" s="315"/>
      <c r="J412" s="315"/>
      <c r="K412" s="315"/>
    </row>
    <row r="413" spans="5:11">
      <c r="E413" s="315"/>
      <c r="F413" s="315"/>
      <c r="G413" s="315"/>
      <c r="H413" s="315"/>
      <c r="I413" s="315"/>
      <c r="J413" s="315"/>
      <c r="K413" s="315"/>
    </row>
    <row r="414" spans="5:11">
      <c r="E414" s="315"/>
      <c r="F414" s="315"/>
      <c r="G414" s="315"/>
      <c r="H414" s="315"/>
      <c r="I414" s="315"/>
      <c r="J414" s="315"/>
      <c r="K414" s="315"/>
    </row>
    <row r="415" spans="5:11">
      <c r="E415" s="315"/>
      <c r="F415" s="315"/>
      <c r="G415" s="315"/>
      <c r="H415" s="315"/>
      <c r="I415" s="315"/>
      <c r="J415" s="315"/>
      <c r="K415" s="315"/>
    </row>
    <row r="416" spans="5:11">
      <c r="E416" s="315"/>
      <c r="F416" s="315"/>
      <c r="G416" s="315"/>
      <c r="H416" s="315"/>
      <c r="I416" s="315"/>
      <c r="J416" s="315"/>
      <c r="K416" s="315"/>
    </row>
    <row r="417" spans="5:11">
      <c r="E417" s="315"/>
      <c r="F417" s="315"/>
      <c r="G417" s="315"/>
      <c r="H417" s="315"/>
      <c r="I417" s="315"/>
      <c r="J417" s="315"/>
      <c r="K417" s="315"/>
    </row>
    <row r="418" spans="5:11">
      <c r="E418" s="315"/>
      <c r="F418" s="315"/>
      <c r="G418" s="315"/>
      <c r="H418" s="315"/>
      <c r="I418" s="315"/>
      <c r="J418" s="315"/>
      <c r="K418" s="315"/>
    </row>
    <row r="419" spans="5:11">
      <c r="E419" s="315"/>
      <c r="F419" s="315"/>
      <c r="G419" s="315"/>
      <c r="H419" s="315"/>
      <c r="I419" s="315"/>
      <c r="J419" s="315"/>
      <c r="K419" s="315"/>
    </row>
    <row r="420" spans="5:11">
      <c r="E420" s="315"/>
      <c r="F420" s="315"/>
      <c r="G420" s="315"/>
      <c r="H420" s="315"/>
      <c r="I420" s="315"/>
      <c r="J420" s="315"/>
      <c r="K420" s="315"/>
    </row>
    <row r="421" spans="5:11">
      <c r="E421" s="315"/>
      <c r="F421" s="315"/>
      <c r="G421" s="315"/>
      <c r="H421" s="315"/>
      <c r="I421" s="315"/>
      <c r="J421" s="315"/>
      <c r="K421" s="315"/>
    </row>
    <row r="422" spans="5:11">
      <c r="E422" s="315"/>
      <c r="F422" s="315"/>
      <c r="G422" s="315"/>
      <c r="H422" s="315"/>
      <c r="I422" s="315"/>
      <c r="J422" s="315"/>
      <c r="K422" s="315"/>
    </row>
    <row r="423" spans="5:11">
      <c r="E423" s="315"/>
      <c r="F423" s="315"/>
      <c r="G423" s="315"/>
      <c r="H423" s="315"/>
      <c r="I423" s="315"/>
      <c r="J423" s="315"/>
      <c r="K423" s="315"/>
    </row>
    <row r="424" spans="5:11">
      <c r="E424" s="315"/>
      <c r="F424" s="315"/>
      <c r="G424" s="315"/>
      <c r="H424" s="315"/>
      <c r="I424" s="315"/>
      <c r="J424" s="315"/>
      <c r="K424" s="315"/>
    </row>
    <row r="425" spans="5:11">
      <c r="E425" s="315"/>
      <c r="F425" s="315"/>
      <c r="G425" s="315"/>
      <c r="H425" s="315"/>
      <c r="I425" s="315"/>
      <c r="J425" s="315"/>
      <c r="K425" s="315"/>
    </row>
    <row r="426" spans="5:11">
      <c r="E426" s="315"/>
      <c r="F426" s="315"/>
      <c r="G426" s="315"/>
      <c r="H426" s="315"/>
      <c r="I426" s="315"/>
      <c r="J426" s="315"/>
      <c r="K426" s="315"/>
    </row>
    <row r="427" spans="5:11">
      <c r="E427" s="315"/>
      <c r="F427" s="315"/>
      <c r="G427" s="315"/>
      <c r="H427" s="315"/>
      <c r="I427" s="315"/>
      <c r="J427" s="315"/>
      <c r="K427" s="315"/>
    </row>
    <row r="428" spans="5:11">
      <c r="E428" s="315"/>
      <c r="F428" s="315"/>
      <c r="G428" s="315"/>
      <c r="H428" s="315"/>
      <c r="I428" s="315"/>
      <c r="J428" s="315"/>
      <c r="K428" s="315"/>
    </row>
    <row r="429" spans="5:11">
      <c r="E429" s="315"/>
      <c r="F429" s="315"/>
      <c r="G429" s="315"/>
      <c r="H429" s="315"/>
      <c r="I429" s="315"/>
      <c r="J429" s="315"/>
      <c r="K429" s="315"/>
    </row>
    <row r="430" spans="5:11">
      <c r="E430" s="315"/>
      <c r="F430" s="315"/>
      <c r="G430" s="315"/>
      <c r="H430" s="315"/>
      <c r="I430" s="315"/>
      <c r="J430" s="315"/>
      <c r="K430" s="315"/>
    </row>
    <row r="431" spans="5:11">
      <c r="E431" s="315"/>
      <c r="F431" s="315"/>
      <c r="G431" s="315"/>
      <c r="H431" s="315"/>
      <c r="I431" s="315"/>
      <c r="J431" s="315"/>
      <c r="K431" s="315"/>
    </row>
    <row r="432" spans="5:11">
      <c r="E432" s="315"/>
      <c r="F432" s="315"/>
      <c r="G432" s="315"/>
      <c r="H432" s="315"/>
      <c r="I432" s="315"/>
      <c r="J432" s="315"/>
      <c r="K432" s="315"/>
    </row>
    <row r="433" spans="5:11">
      <c r="E433" s="315"/>
      <c r="F433" s="315"/>
      <c r="G433" s="315"/>
      <c r="H433" s="315"/>
      <c r="I433" s="315"/>
      <c r="J433" s="315"/>
      <c r="K433" s="315"/>
    </row>
    <row r="434" spans="5:11">
      <c r="E434" s="315"/>
      <c r="F434" s="315"/>
      <c r="G434" s="315"/>
      <c r="H434" s="315"/>
      <c r="I434" s="315"/>
      <c r="J434" s="315"/>
      <c r="K434" s="315"/>
    </row>
    <row r="435" spans="5:11">
      <c r="E435" s="315"/>
      <c r="F435" s="315"/>
      <c r="G435" s="315"/>
      <c r="H435" s="315"/>
      <c r="I435" s="315"/>
      <c r="J435" s="315"/>
      <c r="K435" s="315"/>
    </row>
    <row r="436" spans="5:11">
      <c r="E436" s="315"/>
      <c r="F436" s="315"/>
      <c r="G436" s="315"/>
      <c r="H436" s="315"/>
      <c r="I436" s="315"/>
      <c r="J436" s="315"/>
      <c r="K436" s="315"/>
    </row>
    <row r="437" spans="5:11">
      <c r="E437" s="315"/>
      <c r="F437" s="315"/>
      <c r="G437" s="315"/>
      <c r="H437" s="315"/>
      <c r="I437" s="315"/>
      <c r="J437" s="315"/>
      <c r="K437" s="315"/>
    </row>
    <row r="438" spans="5:11">
      <c r="E438" s="315"/>
      <c r="F438" s="315"/>
      <c r="G438" s="315"/>
      <c r="H438" s="315"/>
      <c r="I438" s="315"/>
      <c r="J438" s="315"/>
      <c r="K438" s="315"/>
    </row>
    <row r="439" spans="5:11">
      <c r="E439" s="315"/>
      <c r="F439" s="315"/>
      <c r="G439" s="315"/>
      <c r="H439" s="315"/>
      <c r="I439" s="315"/>
      <c r="J439" s="315"/>
      <c r="K439" s="315"/>
    </row>
    <row r="440" spans="5:11">
      <c r="E440" s="315"/>
      <c r="F440" s="315"/>
      <c r="G440" s="315"/>
      <c r="H440" s="315"/>
      <c r="I440" s="315"/>
      <c r="J440" s="315"/>
      <c r="K440" s="315"/>
    </row>
    <row r="441" spans="5:11">
      <c r="E441" s="315"/>
      <c r="F441" s="315"/>
      <c r="G441" s="315"/>
      <c r="H441" s="315"/>
      <c r="I441" s="315"/>
      <c r="J441" s="315"/>
      <c r="K441" s="315"/>
    </row>
    <row r="442" spans="5:11">
      <c r="E442" s="315"/>
      <c r="F442" s="315"/>
      <c r="G442" s="315"/>
      <c r="H442" s="315"/>
      <c r="I442" s="315"/>
      <c r="J442" s="315"/>
      <c r="K442" s="315"/>
    </row>
    <row r="443" spans="5:11">
      <c r="E443" s="315"/>
      <c r="F443" s="315"/>
      <c r="G443" s="315"/>
      <c r="H443" s="315"/>
      <c r="I443" s="315"/>
      <c r="J443" s="315"/>
      <c r="K443" s="315"/>
    </row>
    <row r="444" spans="5:11">
      <c r="E444" s="315"/>
      <c r="F444" s="315"/>
      <c r="G444" s="315"/>
      <c r="H444" s="315"/>
      <c r="I444" s="315"/>
      <c r="J444" s="315"/>
      <c r="K444" s="315"/>
    </row>
    <row r="445" spans="5:11">
      <c r="E445" s="315"/>
      <c r="F445" s="315"/>
      <c r="G445" s="315"/>
      <c r="H445" s="315"/>
      <c r="I445" s="315"/>
      <c r="J445" s="315"/>
      <c r="K445" s="315"/>
    </row>
    <row r="446" spans="5:11">
      <c r="E446" s="315"/>
      <c r="F446" s="315"/>
      <c r="G446" s="315"/>
      <c r="H446" s="315"/>
      <c r="I446" s="315"/>
      <c r="J446" s="315"/>
      <c r="K446" s="315"/>
    </row>
    <row r="447" spans="5:11">
      <c r="E447" s="315"/>
      <c r="F447" s="315"/>
      <c r="G447" s="315"/>
      <c r="H447" s="315"/>
      <c r="I447" s="315"/>
      <c r="J447" s="315"/>
      <c r="K447" s="315"/>
    </row>
    <row r="448" spans="5:11">
      <c r="E448" s="315"/>
      <c r="F448" s="315"/>
      <c r="G448" s="315"/>
      <c r="H448" s="315"/>
      <c r="I448" s="315"/>
      <c r="J448" s="315"/>
      <c r="K448" s="315"/>
    </row>
    <row r="449" spans="5:11">
      <c r="E449" s="315"/>
      <c r="F449" s="315"/>
      <c r="G449" s="315"/>
      <c r="H449" s="315"/>
      <c r="I449" s="315"/>
      <c r="J449" s="315"/>
      <c r="K449" s="315"/>
    </row>
    <row r="450" spans="5:11">
      <c r="E450" s="315"/>
      <c r="F450" s="315"/>
      <c r="G450" s="315"/>
      <c r="H450" s="315"/>
      <c r="I450" s="315"/>
      <c r="J450" s="315"/>
      <c r="K450" s="315"/>
    </row>
    <row r="451" spans="5:11">
      <c r="E451" s="315"/>
      <c r="F451" s="315"/>
      <c r="G451" s="315"/>
      <c r="H451" s="315"/>
      <c r="I451" s="315"/>
      <c r="J451" s="315"/>
      <c r="K451" s="315"/>
    </row>
    <row r="452" spans="5:11">
      <c r="E452" s="315"/>
      <c r="F452" s="315"/>
      <c r="G452" s="315"/>
      <c r="H452" s="315"/>
      <c r="I452" s="315"/>
      <c r="J452" s="315"/>
      <c r="K452" s="315"/>
    </row>
    <row r="453" spans="5:11">
      <c r="E453" s="315"/>
      <c r="F453" s="315"/>
      <c r="G453" s="315"/>
      <c r="H453" s="315"/>
      <c r="I453" s="315"/>
      <c r="J453" s="315"/>
      <c r="K453" s="315"/>
    </row>
    <row r="454" spans="5:11">
      <c r="E454" s="315"/>
      <c r="F454" s="315"/>
      <c r="G454" s="315"/>
      <c r="H454" s="315"/>
      <c r="I454" s="315"/>
      <c r="J454" s="315"/>
      <c r="K454" s="315"/>
    </row>
    <row r="455" spans="5:11">
      <c r="E455" s="315"/>
      <c r="F455" s="315"/>
      <c r="G455" s="315"/>
      <c r="H455" s="315"/>
      <c r="I455" s="315"/>
      <c r="J455" s="315"/>
      <c r="K455" s="315"/>
    </row>
    <row r="456" spans="5:11">
      <c r="E456" s="315"/>
      <c r="F456" s="315"/>
      <c r="G456" s="315"/>
      <c r="H456" s="315"/>
      <c r="I456" s="315"/>
      <c r="J456" s="315"/>
      <c r="K456" s="315"/>
    </row>
    <row r="457" spans="5:11">
      <c r="E457" s="315"/>
      <c r="F457" s="315"/>
      <c r="G457" s="315"/>
      <c r="H457" s="315"/>
      <c r="I457" s="315"/>
      <c r="J457" s="315"/>
      <c r="K457" s="315"/>
    </row>
    <row r="458" spans="5:11">
      <c r="E458" s="315"/>
      <c r="F458" s="315"/>
      <c r="G458" s="315"/>
      <c r="H458" s="315"/>
      <c r="I458" s="315"/>
      <c r="J458" s="315"/>
      <c r="K458" s="315"/>
    </row>
    <row r="459" spans="5:11">
      <c r="E459" s="315"/>
      <c r="F459" s="315"/>
      <c r="G459" s="315"/>
      <c r="H459" s="315"/>
      <c r="I459" s="315"/>
      <c r="J459" s="315"/>
      <c r="K459" s="315"/>
    </row>
    <row r="460" spans="5:11">
      <c r="E460" s="315"/>
      <c r="F460" s="315"/>
      <c r="G460" s="315"/>
      <c r="H460" s="315"/>
      <c r="I460" s="315"/>
      <c r="J460" s="315"/>
      <c r="K460" s="315"/>
    </row>
    <row r="461" spans="5:11">
      <c r="E461" s="315"/>
      <c r="F461" s="315"/>
      <c r="G461" s="315"/>
      <c r="H461" s="315"/>
      <c r="I461" s="315"/>
      <c r="J461" s="315"/>
      <c r="K461" s="315"/>
    </row>
    <row r="462" spans="5:11">
      <c r="E462" s="315"/>
      <c r="F462" s="315"/>
      <c r="G462" s="315"/>
      <c r="H462" s="315"/>
      <c r="I462" s="315"/>
      <c r="J462" s="315"/>
      <c r="K462" s="315"/>
    </row>
    <row r="463" spans="5:11">
      <c r="E463" s="315"/>
      <c r="F463" s="315"/>
      <c r="G463" s="315"/>
      <c r="H463" s="315"/>
      <c r="I463" s="315"/>
      <c r="J463" s="315"/>
      <c r="K463" s="315"/>
    </row>
    <row r="464" spans="5:11">
      <c r="E464" s="315"/>
      <c r="F464" s="315"/>
      <c r="G464" s="315"/>
      <c r="H464" s="315"/>
      <c r="I464" s="315"/>
      <c r="J464" s="315"/>
      <c r="K464" s="315"/>
    </row>
    <row r="465" spans="5:11">
      <c r="E465" s="315"/>
      <c r="F465" s="315"/>
      <c r="G465" s="315"/>
      <c r="H465" s="315"/>
      <c r="I465" s="315"/>
      <c r="J465" s="315"/>
      <c r="K465" s="315"/>
    </row>
    <row r="466" spans="5:11">
      <c r="E466" s="315"/>
      <c r="F466" s="315"/>
      <c r="G466" s="315"/>
      <c r="H466" s="315"/>
      <c r="I466" s="315"/>
      <c r="J466" s="315"/>
      <c r="K466" s="315"/>
    </row>
    <row r="467" spans="5:11">
      <c r="E467" s="315"/>
      <c r="F467" s="315"/>
      <c r="G467" s="315"/>
      <c r="H467" s="315"/>
      <c r="I467" s="315"/>
      <c r="J467" s="315"/>
      <c r="K467" s="315"/>
    </row>
    <row r="468" spans="5:11">
      <c r="E468" s="315"/>
      <c r="F468" s="315"/>
      <c r="G468" s="315"/>
      <c r="H468" s="315"/>
      <c r="I468" s="315"/>
      <c r="J468" s="315"/>
      <c r="K468" s="315"/>
    </row>
    <row r="469" spans="5:11">
      <c r="E469" s="315"/>
      <c r="F469" s="315"/>
      <c r="G469" s="315"/>
      <c r="H469" s="315"/>
      <c r="I469" s="315"/>
      <c r="J469" s="315"/>
      <c r="K469" s="315"/>
    </row>
    <row r="470" spans="5:11">
      <c r="E470" s="315"/>
      <c r="F470" s="315"/>
      <c r="G470" s="315"/>
      <c r="H470" s="315"/>
      <c r="I470" s="315"/>
      <c r="J470" s="315"/>
      <c r="K470" s="315"/>
    </row>
    <row r="471" spans="5:11">
      <c r="E471" s="315"/>
      <c r="F471" s="315"/>
      <c r="G471" s="315"/>
      <c r="H471" s="315"/>
      <c r="I471" s="315"/>
      <c r="J471" s="315"/>
      <c r="K471" s="315"/>
    </row>
    <row r="472" spans="5:11">
      <c r="E472" s="315"/>
      <c r="F472" s="315"/>
      <c r="G472" s="315"/>
      <c r="H472" s="315"/>
      <c r="I472" s="315"/>
      <c r="J472" s="315"/>
      <c r="K472" s="315"/>
    </row>
    <row r="473" spans="5:11">
      <c r="E473" s="315"/>
      <c r="F473" s="315"/>
      <c r="G473" s="315"/>
      <c r="H473" s="315"/>
      <c r="I473" s="315"/>
      <c r="J473" s="315"/>
      <c r="K473" s="315"/>
    </row>
    <row r="474" spans="5:11">
      <c r="E474" s="315"/>
      <c r="F474" s="315"/>
      <c r="G474" s="315"/>
      <c r="H474" s="315"/>
      <c r="I474" s="315"/>
      <c r="J474" s="315"/>
      <c r="K474" s="315"/>
    </row>
    <row r="475" spans="5:11">
      <c r="E475" s="315"/>
      <c r="F475" s="315"/>
      <c r="G475" s="315"/>
      <c r="H475" s="315"/>
      <c r="I475" s="315"/>
      <c r="J475" s="315"/>
      <c r="K475" s="315"/>
    </row>
    <row r="476" spans="5:11">
      <c r="E476" s="315"/>
      <c r="F476" s="315"/>
      <c r="G476" s="315"/>
      <c r="H476" s="315"/>
      <c r="I476" s="315"/>
      <c r="J476" s="315"/>
      <c r="K476" s="315"/>
    </row>
    <row r="477" spans="5:11">
      <c r="E477" s="315"/>
      <c r="F477" s="315"/>
      <c r="G477" s="315"/>
      <c r="H477" s="315"/>
      <c r="I477" s="315"/>
      <c r="J477" s="315"/>
      <c r="K477" s="315"/>
    </row>
    <row r="478" spans="5:11">
      <c r="E478" s="315"/>
      <c r="F478" s="315"/>
      <c r="G478" s="315"/>
      <c r="H478" s="315"/>
      <c r="I478" s="315"/>
      <c r="J478" s="315"/>
      <c r="K478" s="315"/>
    </row>
    <row r="479" spans="5:11">
      <c r="E479" s="315"/>
      <c r="F479" s="315"/>
      <c r="G479" s="315"/>
      <c r="H479" s="315"/>
      <c r="I479" s="315"/>
      <c r="J479" s="315"/>
      <c r="K479" s="315"/>
    </row>
    <row r="480" spans="5:11">
      <c r="E480" s="315"/>
      <c r="F480" s="315"/>
      <c r="G480" s="315"/>
      <c r="H480" s="315"/>
      <c r="I480" s="315"/>
      <c r="J480" s="315"/>
      <c r="K480" s="315"/>
    </row>
    <row r="481" spans="5:11">
      <c r="E481" s="315"/>
      <c r="F481" s="315"/>
      <c r="G481" s="315"/>
      <c r="H481" s="315"/>
      <c r="I481" s="315"/>
      <c r="J481" s="315"/>
      <c r="K481" s="315"/>
    </row>
    <row r="482" spans="5:11">
      <c r="E482" s="315"/>
      <c r="F482" s="315"/>
      <c r="G482" s="315"/>
      <c r="H482" s="315"/>
      <c r="I482" s="315"/>
      <c r="J482" s="315"/>
      <c r="K482" s="315"/>
    </row>
    <row r="483" spans="5:11">
      <c r="E483" s="315"/>
      <c r="F483" s="315"/>
      <c r="G483" s="315"/>
      <c r="H483" s="315"/>
      <c r="I483" s="315"/>
      <c r="J483" s="315"/>
      <c r="K483" s="315"/>
    </row>
    <row r="484" spans="5:11">
      <c r="E484" s="315"/>
      <c r="F484" s="315"/>
      <c r="G484" s="315"/>
      <c r="H484" s="315"/>
      <c r="I484" s="315"/>
      <c r="J484" s="315"/>
      <c r="K484" s="315"/>
    </row>
    <row r="485" spans="5:11">
      <c r="E485" s="315"/>
      <c r="F485" s="315"/>
      <c r="G485" s="315"/>
      <c r="H485" s="315"/>
      <c r="I485" s="315"/>
      <c r="J485" s="315"/>
      <c r="K485" s="315"/>
    </row>
    <row r="486" spans="5:11">
      <c r="E486" s="315"/>
      <c r="F486" s="315"/>
      <c r="G486" s="315"/>
      <c r="H486" s="315"/>
      <c r="I486" s="315"/>
      <c r="J486" s="315"/>
      <c r="K486" s="315"/>
    </row>
    <row r="487" spans="5:11">
      <c r="E487" s="315"/>
      <c r="F487" s="315"/>
      <c r="G487" s="315"/>
      <c r="H487" s="315"/>
      <c r="I487" s="315"/>
      <c r="J487" s="315"/>
      <c r="K487" s="315"/>
    </row>
    <row r="488" spans="5:11">
      <c r="E488" s="315"/>
      <c r="F488" s="315"/>
      <c r="G488" s="315"/>
      <c r="H488" s="315"/>
      <c r="I488" s="315"/>
      <c r="J488" s="315"/>
      <c r="K488" s="315"/>
    </row>
    <row r="489" spans="5:11">
      <c r="E489" s="315"/>
      <c r="F489" s="315"/>
      <c r="G489" s="315"/>
      <c r="H489" s="315"/>
      <c r="I489" s="315"/>
      <c r="J489" s="315"/>
      <c r="K489" s="315"/>
    </row>
    <row r="490" spans="5:11">
      <c r="E490" s="315"/>
      <c r="F490" s="315"/>
      <c r="G490" s="315"/>
      <c r="H490" s="315"/>
      <c r="I490" s="315"/>
      <c r="J490" s="315"/>
      <c r="K490" s="315"/>
    </row>
    <row r="491" spans="5:11">
      <c r="E491" s="315"/>
      <c r="F491" s="315"/>
      <c r="G491" s="315"/>
      <c r="H491" s="315"/>
      <c r="I491" s="315"/>
      <c r="J491" s="315"/>
      <c r="K491" s="315"/>
    </row>
    <row r="492" spans="5:11">
      <c r="E492" s="315"/>
      <c r="F492" s="315"/>
      <c r="G492" s="315"/>
      <c r="H492" s="315"/>
      <c r="I492" s="315"/>
      <c r="J492" s="315"/>
      <c r="K492" s="315"/>
    </row>
    <row r="493" spans="5:11">
      <c r="E493" s="315"/>
      <c r="F493" s="315"/>
      <c r="G493" s="315"/>
      <c r="H493" s="315"/>
      <c r="I493" s="315"/>
      <c r="J493" s="315"/>
      <c r="K493" s="315"/>
    </row>
    <row r="494" spans="5:11">
      <c r="E494" s="315"/>
      <c r="F494" s="315"/>
      <c r="G494" s="315"/>
      <c r="H494" s="315"/>
      <c r="I494" s="315"/>
      <c r="J494" s="315"/>
      <c r="K494" s="315"/>
    </row>
    <row r="495" spans="5:11">
      <c r="E495" s="315"/>
      <c r="F495" s="315"/>
      <c r="G495" s="315"/>
      <c r="H495" s="315"/>
      <c r="I495" s="315"/>
      <c r="J495" s="315"/>
      <c r="K495" s="315"/>
    </row>
    <row r="496" spans="5:11">
      <c r="E496" s="315"/>
      <c r="F496" s="315"/>
      <c r="G496" s="315"/>
      <c r="H496" s="315"/>
      <c r="I496" s="315"/>
      <c r="J496" s="315"/>
      <c r="K496" s="315"/>
    </row>
    <row r="497" spans="5:11">
      <c r="E497" s="315"/>
      <c r="F497" s="315"/>
      <c r="G497" s="315"/>
      <c r="H497" s="315"/>
      <c r="I497" s="315"/>
      <c r="J497" s="315"/>
      <c r="K497" s="315"/>
    </row>
    <row r="498" spans="5:11">
      <c r="E498" s="315"/>
      <c r="F498" s="315"/>
      <c r="G498" s="315"/>
      <c r="H498" s="315"/>
      <c r="I498" s="315"/>
      <c r="J498" s="315"/>
      <c r="K498" s="315"/>
    </row>
    <row r="499" spans="5:11">
      <c r="E499" s="315"/>
      <c r="F499" s="315"/>
      <c r="G499" s="315"/>
      <c r="H499" s="315"/>
      <c r="I499" s="315"/>
      <c r="J499" s="315"/>
      <c r="K499" s="315"/>
    </row>
    <row r="500" spans="5:11">
      <c r="E500" s="315"/>
      <c r="F500" s="315"/>
      <c r="G500" s="315"/>
      <c r="H500" s="315"/>
      <c r="I500" s="315"/>
      <c r="J500" s="315"/>
      <c r="K500" s="315"/>
    </row>
    <row r="501" spans="5:11">
      <c r="E501" s="315"/>
      <c r="F501" s="315"/>
      <c r="G501" s="315"/>
      <c r="H501" s="315"/>
      <c r="I501" s="315"/>
      <c r="J501" s="315"/>
      <c r="K501" s="315"/>
    </row>
    <row r="502" spans="5:11">
      <c r="E502" s="315"/>
      <c r="F502" s="315"/>
      <c r="G502" s="315"/>
      <c r="H502" s="315"/>
      <c r="I502" s="315"/>
      <c r="J502" s="315"/>
      <c r="K502" s="315"/>
    </row>
    <row r="503" spans="5:11">
      <c r="E503" s="315"/>
      <c r="F503" s="315"/>
      <c r="G503" s="315"/>
      <c r="H503" s="315"/>
      <c r="I503" s="315"/>
      <c r="J503" s="315"/>
      <c r="K503" s="315"/>
    </row>
    <row r="504" spans="5:11">
      <c r="E504" s="315"/>
      <c r="F504" s="315"/>
      <c r="G504" s="315"/>
      <c r="H504" s="315"/>
      <c r="I504" s="315"/>
      <c r="J504" s="315"/>
      <c r="K504" s="315"/>
    </row>
    <row r="505" spans="5:11">
      <c r="E505" s="315"/>
      <c r="F505" s="315"/>
      <c r="G505" s="315"/>
      <c r="H505" s="315"/>
      <c r="I505" s="315"/>
      <c r="J505" s="315"/>
      <c r="K505" s="315"/>
    </row>
    <row r="506" spans="5:11">
      <c r="E506" s="315"/>
      <c r="F506" s="315"/>
      <c r="G506" s="315"/>
      <c r="H506" s="315"/>
      <c r="I506" s="315"/>
      <c r="J506" s="315"/>
      <c r="K506" s="315"/>
    </row>
    <row r="507" spans="5:11">
      <c r="E507" s="315"/>
      <c r="F507" s="315"/>
      <c r="G507" s="315"/>
      <c r="H507" s="315"/>
      <c r="I507" s="315"/>
      <c r="J507" s="315"/>
      <c r="K507" s="315"/>
    </row>
    <row r="508" spans="5:11">
      <c r="E508" s="315"/>
      <c r="F508" s="315"/>
      <c r="G508" s="315"/>
      <c r="H508" s="315"/>
      <c r="I508" s="315"/>
      <c r="J508" s="315"/>
      <c r="K508" s="315"/>
    </row>
    <row r="509" spans="5:11">
      <c r="E509" s="315"/>
      <c r="F509" s="315"/>
      <c r="G509" s="315"/>
      <c r="H509" s="315"/>
      <c r="I509" s="315"/>
      <c r="J509" s="315"/>
      <c r="K509" s="315"/>
    </row>
    <row r="510" spans="5:11">
      <c r="E510" s="315"/>
      <c r="F510" s="315"/>
      <c r="G510" s="315"/>
      <c r="H510" s="315"/>
      <c r="I510" s="315"/>
      <c r="J510" s="315"/>
      <c r="K510" s="315"/>
    </row>
    <row r="511" spans="5:11">
      <c r="E511" s="315"/>
      <c r="F511" s="315"/>
      <c r="G511" s="315"/>
      <c r="H511" s="315"/>
      <c r="I511" s="315"/>
      <c r="J511" s="315"/>
      <c r="K511" s="315"/>
    </row>
    <row r="512" spans="5:11">
      <c r="E512" s="315"/>
      <c r="F512" s="315"/>
      <c r="G512" s="315"/>
      <c r="H512" s="315"/>
      <c r="I512" s="315"/>
      <c r="J512" s="315"/>
      <c r="K512" s="315"/>
    </row>
    <row r="513" spans="5:11">
      <c r="E513" s="315"/>
      <c r="F513" s="315"/>
      <c r="G513" s="315"/>
      <c r="H513" s="315"/>
      <c r="I513" s="315"/>
      <c r="J513" s="315"/>
      <c r="K513" s="315"/>
    </row>
    <row r="514" spans="5:11">
      <c r="E514" s="315"/>
      <c r="F514" s="315"/>
      <c r="G514" s="315"/>
      <c r="H514" s="315"/>
      <c r="I514" s="315"/>
      <c r="J514" s="315"/>
      <c r="K514" s="315"/>
    </row>
    <row r="515" spans="5:11">
      <c r="E515" s="315"/>
      <c r="F515" s="315"/>
      <c r="G515" s="315"/>
      <c r="H515" s="315"/>
      <c r="I515" s="315"/>
      <c r="J515" s="315"/>
      <c r="K515" s="315"/>
    </row>
    <row r="516" spans="5:11">
      <c r="E516" s="315"/>
      <c r="F516" s="315"/>
      <c r="G516" s="315"/>
      <c r="H516" s="315"/>
      <c r="I516" s="315"/>
      <c r="J516" s="315"/>
      <c r="K516" s="315"/>
    </row>
    <row r="517" spans="5:11">
      <c r="E517" s="315"/>
      <c r="F517" s="315"/>
      <c r="G517" s="315"/>
      <c r="H517" s="315"/>
      <c r="I517" s="315"/>
      <c r="J517" s="315"/>
      <c r="K517" s="315"/>
    </row>
    <row r="518" spans="5:11">
      <c r="E518" s="315"/>
      <c r="F518" s="315"/>
      <c r="G518" s="315"/>
      <c r="H518" s="315"/>
      <c r="I518" s="315"/>
      <c r="J518" s="315"/>
      <c r="K518" s="315"/>
    </row>
    <row r="519" spans="5:11">
      <c r="E519" s="315"/>
      <c r="F519" s="315"/>
      <c r="G519" s="315"/>
      <c r="H519" s="315"/>
      <c r="I519" s="315"/>
      <c r="J519" s="315"/>
      <c r="K519" s="315"/>
    </row>
    <row r="520" spans="5:11">
      <c r="E520" s="315"/>
      <c r="F520" s="315"/>
      <c r="G520" s="315"/>
      <c r="H520" s="315"/>
      <c r="I520" s="315"/>
      <c r="J520" s="315"/>
      <c r="K520" s="315"/>
    </row>
    <row r="521" spans="5:11">
      <c r="E521" s="315"/>
      <c r="F521" s="315"/>
      <c r="G521" s="315"/>
      <c r="H521" s="315"/>
      <c r="I521" s="315"/>
      <c r="J521" s="315"/>
      <c r="K521" s="315"/>
    </row>
    <row r="522" spans="5:11">
      <c r="E522" s="315"/>
      <c r="F522" s="315"/>
      <c r="G522" s="315"/>
      <c r="H522" s="315"/>
      <c r="I522" s="315"/>
      <c r="J522" s="315"/>
      <c r="K522" s="315"/>
    </row>
    <row r="523" spans="5:11">
      <c r="E523" s="315"/>
      <c r="F523" s="315"/>
      <c r="G523" s="315"/>
      <c r="H523" s="315"/>
      <c r="I523" s="315"/>
      <c r="J523" s="315"/>
      <c r="K523" s="315"/>
    </row>
    <row r="524" spans="5:11">
      <c r="E524" s="315"/>
      <c r="F524" s="315"/>
      <c r="G524" s="315"/>
      <c r="H524" s="315"/>
      <c r="I524" s="315"/>
      <c r="J524" s="315"/>
      <c r="K524" s="315"/>
    </row>
    <row r="525" spans="5:11">
      <c r="E525" s="315"/>
      <c r="F525" s="315"/>
      <c r="G525" s="315"/>
      <c r="H525" s="315"/>
      <c r="I525" s="315"/>
      <c r="J525" s="315"/>
      <c r="K525" s="315"/>
    </row>
    <row r="526" spans="5:11">
      <c r="E526" s="315"/>
      <c r="F526" s="315"/>
      <c r="G526" s="315"/>
      <c r="H526" s="315"/>
      <c r="I526" s="315"/>
      <c r="J526" s="315"/>
      <c r="K526" s="315"/>
    </row>
    <row r="527" spans="5:11">
      <c r="E527" s="315"/>
      <c r="F527" s="315"/>
      <c r="G527" s="315"/>
      <c r="H527" s="315"/>
      <c r="I527" s="315"/>
      <c r="J527" s="315"/>
      <c r="K527" s="315"/>
    </row>
    <row r="528" spans="5:11">
      <c r="E528" s="315"/>
      <c r="F528" s="315"/>
      <c r="G528" s="315"/>
      <c r="H528" s="315"/>
      <c r="I528" s="315"/>
      <c r="J528" s="315"/>
      <c r="K528" s="315"/>
    </row>
    <row r="529" spans="5:11">
      <c r="E529" s="315"/>
      <c r="F529" s="315"/>
      <c r="G529" s="315"/>
      <c r="H529" s="315"/>
      <c r="I529" s="315"/>
      <c r="J529" s="315"/>
      <c r="K529" s="315"/>
    </row>
    <row r="530" spans="5:11">
      <c r="E530" s="315"/>
      <c r="F530" s="315"/>
      <c r="G530" s="315"/>
      <c r="H530" s="315"/>
      <c r="I530" s="315"/>
      <c r="J530" s="315"/>
      <c r="K530" s="315"/>
    </row>
    <row r="531" spans="5:11">
      <c r="E531" s="315"/>
      <c r="F531" s="315"/>
      <c r="G531" s="315"/>
      <c r="H531" s="315"/>
      <c r="I531" s="315"/>
      <c r="J531" s="315"/>
      <c r="K531" s="315"/>
    </row>
    <row r="532" spans="5:11">
      <c r="E532" s="315"/>
      <c r="F532" s="315"/>
      <c r="G532" s="315"/>
      <c r="H532" s="315"/>
      <c r="I532" s="315"/>
      <c r="J532" s="315"/>
      <c r="K532" s="315"/>
    </row>
    <row r="533" spans="5:11">
      <c r="E533" s="315"/>
      <c r="F533" s="315"/>
      <c r="G533" s="315"/>
      <c r="H533" s="315"/>
      <c r="I533" s="315"/>
      <c r="J533" s="315"/>
      <c r="K533" s="315"/>
    </row>
    <row r="534" spans="5:11">
      <c r="E534" s="315"/>
      <c r="F534" s="315"/>
      <c r="G534" s="315"/>
      <c r="H534" s="315"/>
      <c r="I534" s="315"/>
      <c r="J534" s="315"/>
      <c r="K534" s="315"/>
    </row>
    <row r="535" spans="5:11">
      <c r="E535" s="315"/>
      <c r="F535" s="315"/>
      <c r="G535" s="315"/>
      <c r="H535" s="315"/>
      <c r="I535" s="315"/>
      <c r="J535" s="315"/>
      <c r="K535" s="315"/>
    </row>
    <row r="536" spans="5:11">
      <c r="E536" s="315"/>
      <c r="F536" s="315"/>
      <c r="G536" s="315"/>
      <c r="H536" s="315"/>
      <c r="I536" s="315"/>
      <c r="J536" s="315"/>
      <c r="K536" s="315"/>
    </row>
    <row r="537" spans="5:11">
      <c r="E537" s="315"/>
      <c r="F537" s="315"/>
      <c r="G537" s="315"/>
      <c r="H537" s="315"/>
      <c r="I537" s="315"/>
      <c r="J537" s="315"/>
      <c r="K537" s="315"/>
    </row>
    <row r="538" spans="5:11">
      <c r="E538" s="315"/>
      <c r="F538" s="315"/>
      <c r="G538" s="315"/>
      <c r="H538" s="315"/>
      <c r="I538" s="315"/>
      <c r="J538" s="315"/>
      <c r="K538" s="315"/>
    </row>
    <row r="539" spans="5:11">
      <c r="E539" s="315"/>
      <c r="F539" s="315"/>
      <c r="G539" s="315"/>
      <c r="H539" s="315"/>
      <c r="I539" s="315"/>
      <c r="J539" s="315"/>
      <c r="K539" s="315"/>
    </row>
    <row r="540" spans="5:11">
      <c r="E540" s="315"/>
      <c r="F540" s="315"/>
      <c r="G540" s="315"/>
      <c r="H540" s="315"/>
      <c r="I540" s="315"/>
      <c r="J540" s="315"/>
      <c r="K540" s="315"/>
    </row>
    <row r="541" spans="5:11">
      <c r="E541" s="315"/>
      <c r="F541" s="315"/>
      <c r="G541" s="315"/>
      <c r="H541" s="315"/>
      <c r="I541" s="315"/>
      <c r="J541" s="315"/>
      <c r="K541" s="315"/>
    </row>
    <row r="542" spans="5:11">
      <c r="E542" s="315"/>
      <c r="F542" s="315"/>
      <c r="G542" s="315"/>
      <c r="H542" s="315"/>
      <c r="I542" s="315"/>
      <c r="J542" s="315"/>
      <c r="K542" s="315"/>
    </row>
    <row r="543" spans="5:11">
      <c r="E543" s="315"/>
      <c r="F543" s="315"/>
      <c r="G543" s="315"/>
      <c r="H543" s="315"/>
      <c r="I543" s="315"/>
      <c r="J543" s="315"/>
      <c r="K543" s="315"/>
    </row>
    <row r="544" spans="5:11">
      <c r="E544" s="315"/>
      <c r="F544" s="315"/>
      <c r="G544" s="315"/>
      <c r="H544" s="315"/>
      <c r="I544" s="315"/>
      <c r="J544" s="315"/>
      <c r="K544" s="315"/>
    </row>
    <row r="545" spans="5:11">
      <c r="E545" s="315"/>
      <c r="F545" s="315"/>
      <c r="G545" s="315"/>
      <c r="H545" s="315"/>
      <c r="I545" s="315"/>
      <c r="J545" s="315"/>
      <c r="K545" s="315"/>
    </row>
    <row r="546" spans="5:11">
      <c r="E546" s="315"/>
      <c r="F546" s="315"/>
      <c r="G546" s="315"/>
      <c r="H546" s="315"/>
      <c r="I546" s="315"/>
      <c r="J546" s="315"/>
      <c r="K546" s="315"/>
    </row>
    <row r="547" spans="5:11">
      <c r="E547" s="315"/>
      <c r="F547" s="315"/>
      <c r="G547" s="315"/>
      <c r="H547" s="315"/>
      <c r="I547" s="315"/>
      <c r="J547" s="315"/>
      <c r="K547" s="315"/>
    </row>
    <row r="548" spans="5:11">
      <c r="E548" s="315"/>
      <c r="F548" s="315"/>
      <c r="G548" s="315"/>
      <c r="H548" s="315"/>
      <c r="I548" s="315"/>
      <c r="J548" s="315"/>
      <c r="K548" s="315"/>
    </row>
    <row r="549" spans="5:11">
      <c r="E549" s="315"/>
      <c r="F549" s="315"/>
      <c r="G549" s="315"/>
      <c r="H549" s="315"/>
      <c r="I549" s="315"/>
      <c r="J549" s="315"/>
      <c r="K549" s="315"/>
    </row>
    <row r="550" spans="5:11">
      <c r="E550" s="315"/>
      <c r="F550" s="315"/>
      <c r="G550" s="315"/>
      <c r="H550" s="315"/>
      <c r="I550" s="315"/>
      <c r="J550" s="315"/>
      <c r="K550" s="315"/>
    </row>
    <row r="551" spans="5:11">
      <c r="E551" s="315"/>
      <c r="F551" s="315"/>
      <c r="G551" s="315"/>
      <c r="H551" s="315"/>
      <c r="I551" s="315"/>
      <c r="J551" s="315"/>
      <c r="K551" s="315"/>
    </row>
    <row r="552" spans="5:11">
      <c r="E552" s="315"/>
      <c r="F552" s="315"/>
      <c r="G552" s="315"/>
      <c r="H552" s="315"/>
      <c r="I552" s="315"/>
      <c r="J552" s="315"/>
      <c r="K552" s="315"/>
    </row>
    <row r="553" spans="5:11">
      <c r="E553" s="315"/>
      <c r="F553" s="315"/>
      <c r="G553" s="315"/>
      <c r="H553" s="315"/>
      <c r="I553" s="315"/>
      <c r="J553" s="315"/>
      <c r="K553" s="315"/>
    </row>
    <row r="554" spans="5:11">
      <c r="E554" s="315"/>
      <c r="F554" s="315"/>
      <c r="G554" s="315"/>
      <c r="H554" s="315"/>
      <c r="I554" s="315"/>
      <c r="J554" s="315"/>
      <c r="K554" s="315"/>
    </row>
    <row r="555" spans="5:11">
      <c r="E555" s="315"/>
      <c r="F555" s="315"/>
      <c r="G555" s="315"/>
      <c r="H555" s="315"/>
      <c r="I555" s="315"/>
      <c r="J555" s="315"/>
      <c r="K555" s="315"/>
    </row>
    <row r="556" spans="5:11">
      <c r="E556" s="315"/>
      <c r="F556" s="315"/>
      <c r="G556" s="315"/>
      <c r="H556" s="315"/>
      <c r="I556" s="315"/>
      <c r="J556" s="315"/>
      <c r="K556" s="315"/>
    </row>
    <row r="557" spans="5:11">
      <c r="E557" s="315"/>
      <c r="F557" s="315"/>
      <c r="G557" s="315"/>
      <c r="H557" s="315"/>
      <c r="I557" s="315"/>
      <c r="J557" s="315"/>
      <c r="K557" s="315"/>
    </row>
    <row r="558" spans="5:11">
      <c r="E558" s="315"/>
      <c r="F558" s="315"/>
      <c r="G558" s="315"/>
      <c r="H558" s="315"/>
      <c r="I558" s="315"/>
      <c r="J558" s="315"/>
      <c r="K558" s="315"/>
    </row>
    <row r="559" spans="5:11">
      <c r="E559" s="315"/>
      <c r="F559" s="315"/>
      <c r="G559" s="315"/>
      <c r="H559" s="315"/>
      <c r="I559" s="315"/>
      <c r="J559" s="315"/>
      <c r="K559" s="315"/>
    </row>
    <row r="560" spans="5:11">
      <c r="E560" s="315"/>
      <c r="F560" s="315"/>
      <c r="G560" s="315"/>
      <c r="H560" s="315"/>
      <c r="I560" s="315"/>
      <c r="J560" s="315"/>
      <c r="K560" s="315"/>
    </row>
    <row r="561" spans="5:11">
      <c r="E561" s="315"/>
      <c r="F561" s="315"/>
      <c r="G561" s="315"/>
      <c r="H561" s="315"/>
      <c r="I561" s="315"/>
      <c r="J561" s="315"/>
      <c r="K561" s="315"/>
    </row>
    <row r="562" spans="5:11">
      <c r="E562" s="315"/>
      <c r="F562" s="315"/>
      <c r="G562" s="315"/>
      <c r="H562" s="315"/>
      <c r="I562" s="315"/>
      <c r="J562" s="315"/>
      <c r="K562" s="315"/>
    </row>
    <row r="563" spans="5:11">
      <c r="E563" s="315"/>
      <c r="F563" s="315"/>
      <c r="G563" s="315"/>
      <c r="H563" s="315"/>
      <c r="I563" s="315"/>
      <c r="J563" s="315"/>
      <c r="K563" s="315"/>
    </row>
    <row r="564" spans="5:11">
      <c r="E564" s="315"/>
      <c r="F564" s="315"/>
      <c r="G564" s="315"/>
      <c r="H564" s="315"/>
      <c r="I564" s="315"/>
      <c r="J564" s="315"/>
      <c r="K564" s="315"/>
    </row>
    <row r="565" spans="5:11">
      <c r="E565" s="315"/>
      <c r="F565" s="315"/>
      <c r="G565" s="315"/>
      <c r="H565" s="315"/>
      <c r="I565" s="315"/>
      <c r="J565" s="315"/>
      <c r="K565" s="315"/>
    </row>
    <row r="566" spans="5:11">
      <c r="E566" s="315"/>
      <c r="F566" s="315"/>
      <c r="G566" s="315"/>
      <c r="H566" s="315"/>
      <c r="I566" s="315"/>
      <c r="J566" s="315"/>
      <c r="K566" s="315"/>
    </row>
    <row r="567" spans="5:11">
      <c r="E567" s="315"/>
      <c r="F567" s="315"/>
      <c r="G567" s="315"/>
      <c r="H567" s="315"/>
      <c r="I567" s="315"/>
      <c r="J567" s="315"/>
      <c r="K567" s="315"/>
    </row>
    <row r="568" spans="5:11">
      <c r="E568" s="315"/>
      <c r="F568" s="315"/>
      <c r="G568" s="315"/>
      <c r="H568" s="315"/>
      <c r="I568" s="315"/>
      <c r="J568" s="315"/>
      <c r="K568" s="315"/>
    </row>
    <row r="569" spans="5:11">
      <c r="E569" s="315"/>
      <c r="F569" s="315"/>
      <c r="G569" s="315"/>
      <c r="H569" s="315"/>
      <c r="I569" s="315"/>
      <c r="J569" s="315"/>
      <c r="K569" s="315"/>
    </row>
    <row r="570" spans="5:11">
      <c r="E570" s="315"/>
      <c r="F570" s="315"/>
      <c r="G570" s="315"/>
      <c r="H570" s="315"/>
      <c r="I570" s="315"/>
      <c r="J570" s="315"/>
      <c r="K570" s="315"/>
    </row>
    <row r="571" spans="5:11">
      <c r="E571" s="315"/>
      <c r="F571" s="315"/>
      <c r="G571" s="315"/>
      <c r="H571" s="315"/>
      <c r="I571" s="315"/>
      <c r="J571" s="315"/>
      <c r="K571" s="315"/>
    </row>
    <row r="572" spans="5:11">
      <c r="E572" s="315"/>
      <c r="F572" s="315"/>
      <c r="G572" s="315"/>
      <c r="H572" s="315"/>
      <c r="I572" s="315"/>
      <c r="J572" s="315"/>
      <c r="K572" s="315"/>
    </row>
    <row r="573" spans="5:11">
      <c r="E573" s="315"/>
      <c r="F573" s="315"/>
      <c r="G573" s="315"/>
      <c r="H573" s="315"/>
      <c r="I573" s="315"/>
      <c r="J573" s="315"/>
      <c r="K573" s="315"/>
    </row>
    <row r="574" spans="5:11">
      <c r="E574" s="315"/>
      <c r="F574" s="315"/>
      <c r="G574" s="315"/>
      <c r="H574" s="315"/>
      <c r="I574" s="315"/>
      <c r="J574" s="315"/>
      <c r="K574" s="315"/>
    </row>
    <row r="575" spans="5:11">
      <c r="E575" s="315"/>
      <c r="F575" s="315"/>
      <c r="G575" s="315"/>
      <c r="H575" s="315"/>
      <c r="I575" s="315"/>
      <c r="J575" s="315"/>
      <c r="K575" s="315"/>
    </row>
    <row r="576" spans="5:11">
      <c r="E576" s="315"/>
      <c r="F576" s="315"/>
      <c r="G576" s="315"/>
      <c r="H576" s="315"/>
      <c r="I576" s="315"/>
      <c r="J576" s="315"/>
      <c r="K576" s="315"/>
    </row>
    <row r="577" spans="5:11">
      <c r="E577" s="315"/>
      <c r="F577" s="315"/>
      <c r="G577" s="315"/>
      <c r="H577" s="315"/>
      <c r="I577" s="315"/>
      <c r="J577" s="315"/>
      <c r="K577" s="315"/>
    </row>
    <row r="578" spans="5:11">
      <c r="E578" s="315"/>
      <c r="F578" s="315"/>
      <c r="G578" s="315"/>
      <c r="H578" s="315"/>
      <c r="I578" s="315"/>
      <c r="J578" s="315"/>
      <c r="K578" s="315"/>
    </row>
    <row r="579" spans="5:11">
      <c r="E579" s="315"/>
      <c r="F579" s="315"/>
      <c r="G579" s="315"/>
      <c r="H579" s="315"/>
      <c r="I579" s="315"/>
      <c r="J579" s="315"/>
      <c r="K579" s="315"/>
    </row>
    <row r="580" spans="5:11">
      <c r="E580" s="315"/>
      <c r="F580" s="315"/>
      <c r="G580" s="315"/>
      <c r="H580" s="315"/>
      <c r="I580" s="315"/>
      <c r="J580" s="315"/>
      <c r="K580" s="315"/>
    </row>
    <row r="581" spans="5:11">
      <c r="E581" s="315"/>
      <c r="F581" s="315"/>
      <c r="G581" s="315"/>
      <c r="H581" s="315"/>
      <c r="I581" s="315"/>
      <c r="J581" s="315"/>
      <c r="K581" s="315"/>
    </row>
    <row r="582" spans="5:11">
      <c r="E582" s="315"/>
      <c r="F582" s="315"/>
      <c r="G582" s="315"/>
      <c r="H582" s="315"/>
      <c r="I582" s="315"/>
      <c r="J582" s="315"/>
      <c r="K582" s="315"/>
    </row>
    <row r="583" spans="5:11">
      <c r="E583" s="315"/>
      <c r="F583" s="315"/>
      <c r="G583" s="315"/>
      <c r="H583" s="315"/>
      <c r="I583" s="315"/>
      <c r="J583" s="315"/>
      <c r="K583" s="315"/>
    </row>
    <row r="584" spans="5:11">
      <c r="E584" s="315"/>
      <c r="F584" s="315"/>
      <c r="G584" s="315"/>
      <c r="H584" s="315"/>
      <c r="I584" s="315"/>
      <c r="J584" s="315"/>
      <c r="K584" s="315"/>
    </row>
    <row r="585" spans="5:11">
      <c r="E585" s="315"/>
      <c r="F585" s="315"/>
      <c r="G585" s="315"/>
      <c r="H585" s="315"/>
      <c r="I585" s="315"/>
      <c r="J585" s="315"/>
      <c r="K585" s="315"/>
    </row>
    <row r="586" spans="5:11">
      <c r="E586" s="315"/>
      <c r="F586" s="315"/>
      <c r="G586" s="315"/>
      <c r="H586" s="315"/>
      <c r="I586" s="315"/>
      <c r="J586" s="315"/>
      <c r="K586" s="315"/>
    </row>
    <row r="587" spans="5:11">
      <c r="E587" s="315"/>
      <c r="F587" s="315"/>
      <c r="G587" s="315"/>
      <c r="H587" s="315"/>
      <c r="I587" s="315"/>
      <c r="J587" s="315"/>
      <c r="K587" s="315"/>
    </row>
    <row r="588" spans="5:11">
      <c r="E588" s="315"/>
      <c r="F588" s="315"/>
      <c r="G588" s="315"/>
      <c r="H588" s="315"/>
      <c r="I588" s="315"/>
      <c r="J588" s="315"/>
      <c r="K588" s="315"/>
    </row>
    <row r="589" spans="5:11">
      <c r="E589" s="315"/>
      <c r="F589" s="315"/>
      <c r="G589" s="315"/>
      <c r="H589" s="315"/>
      <c r="I589" s="315"/>
      <c r="J589" s="315"/>
      <c r="K589" s="315"/>
    </row>
    <row r="590" spans="5:11">
      <c r="E590" s="315"/>
      <c r="F590" s="315"/>
      <c r="G590" s="315"/>
      <c r="H590" s="315"/>
      <c r="I590" s="315"/>
      <c r="J590" s="315"/>
      <c r="K590" s="315"/>
    </row>
    <row r="591" spans="5:11">
      <c r="E591" s="315"/>
      <c r="F591" s="315"/>
      <c r="G591" s="315"/>
      <c r="H591" s="315"/>
      <c r="I591" s="315"/>
      <c r="J591" s="315"/>
      <c r="K591" s="315"/>
    </row>
    <row r="592" spans="5:11">
      <c r="E592" s="315"/>
      <c r="F592" s="315"/>
      <c r="G592" s="315"/>
      <c r="H592" s="315"/>
      <c r="I592" s="315"/>
      <c r="J592" s="315"/>
      <c r="K592" s="315"/>
    </row>
    <row r="593" spans="5:11">
      <c r="E593" s="315"/>
      <c r="F593" s="315"/>
      <c r="G593" s="315"/>
      <c r="H593" s="315"/>
      <c r="I593" s="315"/>
      <c r="J593" s="315"/>
      <c r="K593" s="315"/>
    </row>
    <row r="594" spans="5:11">
      <c r="E594" s="315"/>
      <c r="F594" s="315"/>
      <c r="G594" s="315"/>
      <c r="H594" s="315"/>
      <c r="I594" s="315"/>
      <c r="J594" s="315"/>
      <c r="K594" s="315"/>
    </row>
    <row r="595" spans="5:11">
      <c r="E595" s="315"/>
      <c r="F595" s="315"/>
      <c r="G595" s="315"/>
      <c r="H595" s="315"/>
      <c r="I595" s="315"/>
      <c r="J595" s="315"/>
      <c r="K595" s="315"/>
    </row>
    <row r="596" spans="5:11">
      <c r="E596" s="315"/>
      <c r="F596" s="315"/>
      <c r="G596" s="315"/>
      <c r="H596" s="315"/>
      <c r="I596" s="315"/>
      <c r="J596" s="315"/>
      <c r="K596" s="315"/>
    </row>
    <row r="597" spans="5:11">
      <c r="E597" s="315"/>
      <c r="F597" s="315"/>
      <c r="G597" s="315"/>
      <c r="H597" s="315"/>
      <c r="I597" s="315"/>
      <c r="J597" s="315"/>
      <c r="K597" s="315"/>
    </row>
    <row r="598" spans="5:11">
      <c r="E598" s="315"/>
      <c r="F598" s="315"/>
      <c r="G598" s="315"/>
      <c r="H598" s="315"/>
      <c r="I598" s="315"/>
      <c r="J598" s="315"/>
      <c r="K598" s="315"/>
    </row>
    <row r="599" spans="5:11">
      <c r="E599" s="315"/>
      <c r="F599" s="315"/>
      <c r="G599" s="315"/>
      <c r="H599" s="315"/>
      <c r="I599" s="315"/>
      <c r="J599" s="315"/>
      <c r="K599" s="315"/>
    </row>
    <row r="600" spans="5:11">
      <c r="E600" s="315"/>
      <c r="F600" s="315"/>
      <c r="G600" s="315"/>
      <c r="H600" s="315"/>
      <c r="I600" s="315"/>
      <c r="J600" s="315"/>
      <c r="K600" s="315"/>
    </row>
    <row r="601" spans="5:11">
      <c r="E601" s="315"/>
      <c r="F601" s="315"/>
      <c r="G601" s="315"/>
      <c r="H601" s="315"/>
      <c r="I601" s="315"/>
      <c r="J601" s="315"/>
      <c r="K601" s="315"/>
    </row>
    <row r="602" spans="5:11">
      <c r="E602" s="315"/>
      <c r="F602" s="315"/>
      <c r="G602" s="315"/>
      <c r="H602" s="315"/>
      <c r="I602" s="315"/>
      <c r="J602" s="315"/>
      <c r="K602" s="315"/>
    </row>
    <row r="603" spans="5:11">
      <c r="E603" s="315"/>
      <c r="F603" s="315"/>
      <c r="G603" s="315"/>
      <c r="H603" s="315"/>
      <c r="I603" s="315"/>
      <c r="J603" s="315"/>
      <c r="K603" s="315"/>
    </row>
    <row r="604" spans="5:11">
      <c r="E604" s="315"/>
      <c r="F604" s="315"/>
      <c r="G604" s="315"/>
      <c r="H604" s="315"/>
      <c r="I604" s="315"/>
      <c r="J604" s="315"/>
      <c r="K604" s="315"/>
    </row>
    <row r="605" spans="5:11">
      <c r="E605" s="315"/>
      <c r="F605" s="315"/>
      <c r="G605" s="315"/>
      <c r="H605" s="315"/>
      <c r="I605" s="315"/>
      <c r="J605" s="315"/>
      <c r="K605" s="315"/>
    </row>
    <row r="606" spans="5:11">
      <c r="E606" s="315"/>
      <c r="F606" s="315"/>
      <c r="G606" s="315"/>
      <c r="H606" s="315"/>
      <c r="I606" s="315"/>
      <c r="J606" s="315"/>
      <c r="K606" s="315"/>
    </row>
    <row r="607" spans="5:11">
      <c r="E607" s="315"/>
      <c r="F607" s="315"/>
      <c r="G607" s="315"/>
      <c r="H607" s="315"/>
      <c r="I607" s="315"/>
      <c r="J607" s="315"/>
      <c r="K607" s="315"/>
    </row>
    <row r="608" spans="5:11">
      <c r="E608" s="315"/>
      <c r="F608" s="315"/>
      <c r="G608" s="315"/>
      <c r="H608" s="315"/>
      <c r="I608" s="315"/>
      <c r="J608" s="315"/>
      <c r="K608" s="315"/>
    </row>
    <row r="609" spans="5:11">
      <c r="E609" s="315"/>
      <c r="F609" s="315"/>
      <c r="G609" s="315"/>
      <c r="H609" s="315"/>
      <c r="I609" s="315"/>
      <c r="J609" s="315"/>
      <c r="K609" s="315"/>
    </row>
    <row r="610" spans="5:11">
      <c r="E610" s="315"/>
      <c r="F610" s="315"/>
      <c r="G610" s="315"/>
      <c r="H610" s="315"/>
      <c r="I610" s="315"/>
      <c r="J610" s="315"/>
      <c r="K610" s="315"/>
    </row>
    <row r="611" spans="5:11">
      <c r="E611" s="315"/>
      <c r="F611" s="315"/>
      <c r="G611" s="315"/>
      <c r="H611" s="315"/>
      <c r="I611" s="315"/>
      <c r="J611" s="315"/>
      <c r="K611" s="315"/>
    </row>
    <row r="612" spans="5:11">
      <c r="E612" s="315"/>
      <c r="F612" s="315"/>
      <c r="G612" s="315"/>
      <c r="H612" s="315"/>
      <c r="I612" s="315"/>
      <c r="J612" s="315"/>
      <c r="K612" s="315"/>
    </row>
    <row r="613" spans="5:11">
      <c r="E613" s="315"/>
      <c r="F613" s="315"/>
      <c r="G613" s="315"/>
      <c r="H613" s="315"/>
      <c r="I613" s="315"/>
      <c r="J613" s="315"/>
      <c r="K613" s="315"/>
    </row>
    <row r="614" spans="5:11">
      <c r="E614" s="315"/>
      <c r="F614" s="315"/>
      <c r="G614" s="315"/>
      <c r="H614" s="315"/>
      <c r="I614" s="315"/>
      <c r="J614" s="315"/>
      <c r="K614" s="315"/>
    </row>
    <row r="615" spans="5:11">
      <c r="E615" s="315"/>
      <c r="F615" s="315"/>
      <c r="G615" s="315"/>
      <c r="H615" s="315"/>
      <c r="I615" s="315"/>
      <c r="J615" s="315"/>
      <c r="K615" s="315"/>
    </row>
    <row r="616" spans="5:11">
      <c r="E616" s="315"/>
      <c r="F616" s="315"/>
      <c r="G616" s="315"/>
      <c r="H616" s="315"/>
      <c r="I616" s="315"/>
      <c r="J616" s="315"/>
      <c r="K616" s="315"/>
    </row>
    <row r="617" spans="5:11">
      <c r="E617" s="315"/>
      <c r="F617" s="315"/>
      <c r="G617" s="315"/>
      <c r="H617" s="315"/>
      <c r="I617" s="315"/>
      <c r="J617" s="315"/>
      <c r="K617" s="315"/>
    </row>
    <row r="618" spans="5:11">
      <c r="E618" s="315"/>
      <c r="F618" s="315"/>
      <c r="G618" s="315"/>
      <c r="H618" s="315"/>
      <c r="I618" s="315"/>
      <c r="J618" s="315"/>
      <c r="K618" s="315"/>
    </row>
    <row r="619" spans="5:11">
      <c r="E619" s="315"/>
      <c r="F619" s="315"/>
      <c r="G619" s="315"/>
      <c r="H619" s="315"/>
      <c r="I619" s="315"/>
      <c r="J619" s="315"/>
      <c r="K619" s="315"/>
    </row>
    <row r="620" spans="5:11">
      <c r="E620" s="315"/>
      <c r="F620" s="315"/>
      <c r="G620" s="315"/>
      <c r="H620" s="315"/>
      <c r="I620" s="315"/>
      <c r="J620" s="315"/>
      <c r="K620" s="315"/>
    </row>
    <row r="621" spans="5:11">
      <c r="E621" s="315"/>
      <c r="F621" s="315"/>
      <c r="G621" s="315"/>
      <c r="H621" s="315"/>
      <c r="I621" s="315"/>
      <c r="J621" s="315"/>
      <c r="K621" s="315"/>
    </row>
    <row r="622" spans="5:11">
      <c r="E622" s="315"/>
      <c r="F622" s="315"/>
      <c r="G622" s="315"/>
      <c r="H622" s="315"/>
      <c r="I622" s="315"/>
      <c r="J622" s="315"/>
      <c r="K622" s="315"/>
    </row>
    <row r="623" spans="5:11">
      <c r="E623" s="315"/>
      <c r="F623" s="315"/>
      <c r="G623" s="315"/>
      <c r="H623" s="315"/>
      <c r="I623" s="315"/>
      <c r="J623" s="315"/>
      <c r="K623" s="315"/>
    </row>
    <row r="624" spans="5:11">
      <c r="E624" s="315"/>
      <c r="F624" s="315"/>
      <c r="G624" s="315"/>
      <c r="H624" s="315"/>
      <c r="I624" s="315"/>
      <c r="J624" s="315"/>
      <c r="K624" s="315"/>
    </row>
    <row r="625" spans="5:11">
      <c r="E625" s="315"/>
      <c r="F625" s="315"/>
      <c r="G625" s="315"/>
      <c r="H625" s="315"/>
      <c r="I625" s="315"/>
      <c r="J625" s="315"/>
      <c r="K625" s="315"/>
    </row>
    <row r="626" spans="5:11">
      <c r="E626" s="315"/>
      <c r="F626" s="315"/>
      <c r="G626" s="315"/>
      <c r="H626" s="315"/>
      <c r="I626" s="315"/>
      <c r="J626" s="315"/>
      <c r="K626" s="315"/>
    </row>
    <row r="627" spans="5:11">
      <c r="E627" s="315"/>
      <c r="F627" s="315"/>
      <c r="G627" s="315"/>
      <c r="H627" s="315"/>
      <c r="I627" s="315"/>
      <c r="J627" s="315"/>
      <c r="K627" s="315"/>
    </row>
    <row r="628" spans="5:11">
      <c r="E628" s="315"/>
      <c r="F628" s="315"/>
      <c r="G628" s="315"/>
      <c r="H628" s="315"/>
      <c r="I628" s="315"/>
      <c r="J628" s="315"/>
      <c r="K628" s="315"/>
    </row>
    <row r="629" spans="5:11">
      <c r="E629" s="315"/>
      <c r="F629" s="315"/>
      <c r="G629" s="315"/>
      <c r="H629" s="315"/>
      <c r="I629" s="315"/>
      <c r="J629" s="315"/>
      <c r="K629" s="315"/>
    </row>
    <row r="630" spans="5:11">
      <c r="E630" s="315"/>
      <c r="F630" s="315"/>
      <c r="G630" s="315"/>
      <c r="H630" s="315"/>
      <c r="I630" s="315"/>
      <c r="J630" s="315"/>
      <c r="K630" s="315"/>
    </row>
    <row r="631" spans="5:11">
      <c r="E631" s="315"/>
      <c r="F631" s="315"/>
      <c r="G631" s="315"/>
      <c r="H631" s="315"/>
      <c r="I631" s="315"/>
      <c r="J631" s="315"/>
      <c r="K631" s="315"/>
    </row>
    <row r="632" spans="5:11">
      <c r="E632" s="315"/>
      <c r="F632" s="315"/>
      <c r="G632" s="315"/>
      <c r="H632" s="315"/>
      <c r="I632" s="315"/>
      <c r="J632" s="315"/>
      <c r="K632" s="315"/>
    </row>
    <row r="633" spans="5:11">
      <c r="E633" s="315"/>
      <c r="F633" s="315"/>
      <c r="G633" s="315"/>
      <c r="H633" s="315"/>
      <c r="I633" s="315"/>
      <c r="J633" s="315"/>
      <c r="K633" s="315"/>
    </row>
    <row r="634" spans="5:11">
      <c r="E634" s="315"/>
      <c r="F634" s="315"/>
      <c r="G634" s="315"/>
      <c r="H634" s="315"/>
      <c r="I634" s="315"/>
      <c r="J634" s="315"/>
      <c r="K634" s="315"/>
    </row>
    <row r="635" spans="5:11">
      <c r="E635" s="315"/>
      <c r="F635" s="315"/>
      <c r="G635" s="315"/>
      <c r="H635" s="315"/>
      <c r="I635" s="315"/>
      <c r="J635" s="315"/>
      <c r="K635" s="315"/>
    </row>
    <row r="636" spans="5:11">
      <c r="E636" s="315"/>
      <c r="F636" s="315"/>
      <c r="G636" s="315"/>
      <c r="H636" s="315"/>
      <c r="I636" s="315"/>
      <c r="J636" s="315"/>
      <c r="K636" s="315"/>
    </row>
    <row r="637" spans="5:11">
      <c r="E637" s="315"/>
      <c r="F637" s="315"/>
      <c r="G637" s="315"/>
      <c r="H637" s="315"/>
      <c r="I637" s="315"/>
      <c r="J637" s="315"/>
      <c r="K637" s="315"/>
    </row>
    <row r="638" spans="5:11">
      <c r="E638" s="315"/>
      <c r="F638" s="315"/>
      <c r="G638" s="315"/>
      <c r="H638" s="315"/>
      <c r="I638" s="315"/>
      <c r="J638" s="315"/>
      <c r="K638" s="315"/>
    </row>
    <row r="639" spans="5:11">
      <c r="E639" s="315"/>
      <c r="F639" s="315"/>
      <c r="G639" s="315"/>
      <c r="H639" s="315"/>
      <c r="I639" s="315"/>
      <c r="J639" s="315"/>
      <c r="K639" s="315"/>
    </row>
    <row r="640" spans="5:11">
      <c r="E640" s="315"/>
      <c r="F640" s="315"/>
      <c r="G640" s="315"/>
      <c r="H640" s="315"/>
      <c r="I640" s="315"/>
      <c r="J640" s="315"/>
      <c r="K640" s="315"/>
    </row>
    <row r="641" spans="5:11">
      <c r="E641" s="315"/>
      <c r="F641" s="315"/>
      <c r="G641" s="315"/>
      <c r="H641" s="315"/>
      <c r="I641" s="315"/>
      <c r="J641" s="315"/>
      <c r="K641" s="315"/>
    </row>
    <row r="642" spans="5:11">
      <c r="E642" s="315"/>
      <c r="F642" s="315"/>
      <c r="G642" s="315"/>
      <c r="H642" s="315"/>
      <c r="I642" s="315"/>
      <c r="J642" s="315"/>
      <c r="K642" s="315"/>
    </row>
    <row r="643" spans="5:11">
      <c r="E643" s="315"/>
      <c r="F643" s="315"/>
      <c r="G643" s="315"/>
      <c r="H643" s="315"/>
      <c r="I643" s="315"/>
      <c r="J643" s="315"/>
      <c r="K643" s="315"/>
    </row>
    <row r="644" spans="5:11">
      <c r="E644" s="315"/>
      <c r="F644" s="315"/>
      <c r="G644" s="315"/>
      <c r="H644" s="315"/>
      <c r="I644" s="315"/>
      <c r="J644" s="315"/>
      <c r="K644" s="315"/>
    </row>
    <row r="645" spans="5:11">
      <c r="E645" s="315"/>
      <c r="F645" s="315"/>
      <c r="G645" s="315"/>
      <c r="H645" s="315"/>
      <c r="I645" s="315"/>
      <c r="J645" s="315"/>
      <c r="K645" s="315"/>
    </row>
    <row r="646" spans="5:11">
      <c r="E646" s="315"/>
      <c r="F646" s="315"/>
      <c r="G646" s="315"/>
      <c r="H646" s="315"/>
      <c r="I646" s="315"/>
      <c r="J646" s="315"/>
      <c r="K646" s="315"/>
    </row>
    <row r="647" spans="5:11">
      <c r="E647" s="315"/>
      <c r="F647" s="315"/>
      <c r="G647" s="315"/>
      <c r="H647" s="315"/>
      <c r="I647" s="315"/>
      <c r="J647" s="315"/>
      <c r="K647" s="315"/>
    </row>
    <row r="648" spans="5:11">
      <c r="E648" s="315"/>
      <c r="F648" s="315"/>
      <c r="G648" s="315"/>
      <c r="H648" s="315"/>
      <c r="I648" s="315"/>
      <c r="J648" s="315"/>
      <c r="K648" s="315"/>
    </row>
    <row r="649" spans="5:11">
      <c r="E649" s="315"/>
      <c r="F649" s="315"/>
      <c r="G649" s="315"/>
      <c r="H649" s="315"/>
      <c r="I649" s="315"/>
      <c r="J649" s="315"/>
      <c r="K649" s="315"/>
    </row>
    <row r="650" spans="5:11">
      <c r="E650" s="315"/>
      <c r="F650" s="315"/>
      <c r="G650" s="315"/>
      <c r="H650" s="315"/>
      <c r="I650" s="315"/>
      <c r="J650" s="315"/>
      <c r="K650" s="315"/>
    </row>
    <row r="651" spans="5:11">
      <c r="E651" s="315"/>
      <c r="F651" s="315"/>
      <c r="G651" s="315"/>
      <c r="H651" s="315"/>
      <c r="I651" s="315"/>
      <c r="J651" s="315"/>
      <c r="K651" s="315"/>
    </row>
    <row r="652" spans="5:11">
      <c r="E652" s="315"/>
      <c r="F652" s="315"/>
      <c r="G652" s="315"/>
      <c r="H652" s="315"/>
      <c r="I652" s="315"/>
      <c r="J652" s="315"/>
      <c r="K652" s="315"/>
    </row>
    <row r="653" spans="5:11">
      <c r="E653" s="315"/>
      <c r="F653" s="315"/>
      <c r="G653" s="315"/>
      <c r="H653" s="315"/>
      <c r="I653" s="315"/>
      <c r="J653" s="315"/>
      <c r="K653" s="315"/>
    </row>
    <row r="654" spans="5:11">
      <c r="E654" s="315"/>
      <c r="F654" s="315"/>
      <c r="G654" s="315"/>
      <c r="H654" s="315"/>
      <c r="I654" s="315"/>
      <c r="J654" s="315"/>
      <c r="K654" s="315"/>
    </row>
    <row r="655" spans="5:11">
      <c r="E655" s="315"/>
      <c r="F655" s="315"/>
      <c r="G655" s="315"/>
      <c r="H655" s="315"/>
      <c r="I655" s="315"/>
      <c r="J655" s="315"/>
      <c r="K655" s="315"/>
    </row>
    <row r="656" spans="5:11">
      <c r="E656" s="315"/>
      <c r="F656" s="315"/>
      <c r="G656" s="315"/>
      <c r="H656" s="315"/>
      <c r="I656" s="315"/>
      <c r="J656" s="315"/>
      <c r="K656" s="315"/>
    </row>
    <row r="657" spans="5:11">
      <c r="E657" s="315"/>
      <c r="F657" s="315"/>
      <c r="G657" s="315"/>
      <c r="H657" s="315"/>
      <c r="I657" s="315"/>
      <c r="J657" s="315"/>
      <c r="K657" s="315"/>
    </row>
    <row r="658" spans="5:11">
      <c r="E658" s="315"/>
      <c r="F658" s="315"/>
      <c r="G658" s="315"/>
      <c r="H658" s="315"/>
      <c r="I658" s="315"/>
      <c r="J658" s="315"/>
      <c r="K658" s="315"/>
    </row>
    <row r="659" spans="5:11">
      <c r="E659" s="315"/>
      <c r="F659" s="315"/>
      <c r="G659" s="315"/>
      <c r="H659" s="315"/>
      <c r="I659" s="315"/>
      <c r="J659" s="315"/>
      <c r="K659" s="315"/>
    </row>
    <row r="660" spans="5:11">
      <c r="E660" s="315"/>
      <c r="F660" s="315"/>
      <c r="G660" s="315"/>
      <c r="H660" s="315"/>
      <c r="I660" s="315"/>
      <c r="J660" s="315"/>
      <c r="K660" s="315"/>
    </row>
    <row r="661" spans="5:11">
      <c r="E661" s="315"/>
      <c r="F661" s="315"/>
      <c r="G661" s="315"/>
      <c r="H661" s="315"/>
      <c r="I661" s="315"/>
      <c r="J661" s="315"/>
      <c r="K661" s="315"/>
    </row>
    <row r="662" spans="5:11">
      <c r="E662" s="315"/>
      <c r="F662" s="315"/>
      <c r="G662" s="315"/>
      <c r="H662" s="315"/>
      <c r="I662" s="315"/>
      <c r="J662" s="315"/>
      <c r="K662" s="315"/>
    </row>
    <row r="663" spans="5:11">
      <c r="E663" s="315"/>
      <c r="F663" s="315"/>
      <c r="G663" s="315"/>
      <c r="H663" s="315"/>
      <c r="I663" s="315"/>
      <c r="J663" s="315"/>
      <c r="K663" s="315"/>
    </row>
    <row r="664" spans="5:11">
      <c r="E664" s="315"/>
      <c r="F664" s="315"/>
      <c r="G664" s="315"/>
      <c r="H664" s="315"/>
      <c r="I664" s="315"/>
      <c r="J664" s="315"/>
      <c r="K664" s="315"/>
    </row>
    <row r="665" spans="5:11">
      <c r="E665" s="315"/>
      <c r="F665" s="315"/>
      <c r="G665" s="315"/>
      <c r="H665" s="315"/>
      <c r="I665" s="315"/>
      <c r="J665" s="315"/>
      <c r="K665" s="315"/>
    </row>
    <row r="666" spans="5:11">
      <c r="E666" s="315"/>
      <c r="F666" s="315"/>
      <c r="G666" s="315"/>
      <c r="H666" s="315"/>
      <c r="I666" s="315"/>
      <c r="J666" s="315"/>
      <c r="K666" s="315"/>
    </row>
    <row r="667" spans="5:11">
      <c r="E667" s="315"/>
      <c r="F667" s="315"/>
      <c r="G667" s="315"/>
      <c r="H667" s="315"/>
      <c r="I667" s="315"/>
      <c r="J667" s="315"/>
      <c r="K667" s="315"/>
    </row>
    <row r="668" spans="5:11">
      <c r="E668" s="315"/>
      <c r="F668" s="315"/>
      <c r="G668" s="315"/>
      <c r="H668" s="315"/>
      <c r="I668" s="315"/>
      <c r="J668" s="315"/>
      <c r="K668" s="315"/>
    </row>
    <row r="669" spans="5:11">
      <c r="E669" s="315"/>
      <c r="F669" s="315"/>
      <c r="G669" s="315"/>
      <c r="H669" s="315"/>
      <c r="I669" s="315"/>
      <c r="J669" s="315"/>
      <c r="K669" s="315"/>
    </row>
    <row r="670" spans="5:11">
      <c r="E670" s="315"/>
      <c r="F670" s="315"/>
      <c r="G670" s="315"/>
      <c r="H670" s="315"/>
      <c r="I670" s="315"/>
      <c r="J670" s="315"/>
      <c r="K670" s="315"/>
    </row>
    <row r="671" spans="5:11">
      <c r="E671" s="315"/>
      <c r="F671" s="315"/>
      <c r="G671" s="315"/>
      <c r="H671" s="315"/>
      <c r="I671" s="315"/>
      <c r="J671" s="315"/>
      <c r="K671" s="315"/>
    </row>
    <row r="672" spans="5:11">
      <c r="E672" s="315"/>
      <c r="F672" s="315"/>
      <c r="G672" s="315"/>
      <c r="H672" s="315"/>
      <c r="I672" s="315"/>
      <c r="J672" s="315"/>
      <c r="K672" s="315"/>
    </row>
    <row r="673" spans="5:11">
      <c r="E673" s="315"/>
      <c r="F673" s="315"/>
      <c r="G673" s="315"/>
      <c r="H673" s="315"/>
      <c r="I673" s="315"/>
      <c r="J673" s="315"/>
      <c r="K673" s="315"/>
    </row>
    <row r="674" spans="5:11">
      <c r="E674" s="315"/>
      <c r="F674" s="315"/>
      <c r="G674" s="315"/>
      <c r="H674" s="315"/>
      <c r="I674" s="315"/>
      <c r="J674" s="315"/>
      <c r="K674" s="315"/>
    </row>
    <row r="675" spans="5:11">
      <c r="E675" s="315"/>
      <c r="F675" s="315"/>
      <c r="G675" s="315"/>
      <c r="H675" s="315"/>
      <c r="I675" s="315"/>
      <c r="J675" s="315"/>
      <c r="K675" s="315"/>
    </row>
    <row r="676" spans="5:11">
      <c r="E676" s="315"/>
      <c r="F676" s="315"/>
      <c r="G676" s="315"/>
      <c r="H676" s="315"/>
      <c r="I676" s="315"/>
      <c r="J676" s="315"/>
      <c r="K676" s="315"/>
    </row>
    <row r="677" spans="5:11">
      <c r="E677" s="315"/>
      <c r="F677" s="315"/>
      <c r="G677" s="315"/>
      <c r="H677" s="315"/>
      <c r="I677" s="315"/>
      <c r="J677" s="315"/>
      <c r="K677" s="315"/>
    </row>
    <row r="678" spans="5:11">
      <c r="E678" s="315"/>
      <c r="F678" s="315"/>
      <c r="G678" s="315"/>
      <c r="H678" s="315"/>
      <c r="I678" s="315"/>
      <c r="J678" s="315"/>
      <c r="K678" s="315"/>
    </row>
    <row r="679" spans="5:11">
      <c r="E679" s="315"/>
      <c r="F679" s="315"/>
      <c r="G679" s="315"/>
      <c r="H679" s="315"/>
      <c r="I679" s="315"/>
      <c r="J679" s="315"/>
      <c r="K679" s="315"/>
    </row>
    <row r="680" spans="5:11">
      <c r="E680" s="315"/>
      <c r="F680" s="315"/>
      <c r="G680" s="315"/>
      <c r="H680" s="315"/>
      <c r="I680" s="315"/>
      <c r="J680" s="315"/>
      <c r="K680" s="315"/>
    </row>
    <row r="681" spans="5:11">
      <c r="E681" s="315"/>
      <c r="F681" s="315"/>
      <c r="G681" s="315"/>
      <c r="H681" s="315"/>
      <c r="I681" s="315"/>
      <c r="J681" s="315"/>
      <c r="K681" s="315"/>
    </row>
    <row r="682" spans="5:11">
      <c r="E682" s="315"/>
      <c r="F682" s="315"/>
      <c r="G682" s="315"/>
      <c r="H682" s="315"/>
      <c r="I682" s="315"/>
      <c r="J682" s="315"/>
      <c r="K682" s="315"/>
    </row>
    <row r="683" spans="5:11">
      <c r="E683" s="315"/>
      <c r="F683" s="315"/>
      <c r="G683" s="315"/>
      <c r="H683" s="315"/>
      <c r="I683" s="315"/>
      <c r="J683" s="315"/>
      <c r="K683" s="315"/>
    </row>
    <row r="684" spans="5:11">
      <c r="E684" s="315"/>
      <c r="F684" s="315"/>
      <c r="G684" s="315"/>
      <c r="H684" s="315"/>
      <c r="I684" s="315"/>
      <c r="J684" s="315"/>
      <c r="K684" s="315"/>
    </row>
    <row r="685" spans="5:11">
      <c r="E685" s="315"/>
      <c r="F685" s="315"/>
      <c r="G685" s="315"/>
      <c r="H685" s="315"/>
      <c r="I685" s="315"/>
      <c r="J685" s="315"/>
      <c r="K685" s="315"/>
    </row>
    <row r="686" spans="5:11">
      <c r="E686" s="315"/>
      <c r="F686" s="315"/>
      <c r="G686" s="315"/>
      <c r="H686" s="315"/>
      <c r="I686" s="315"/>
      <c r="J686" s="315"/>
      <c r="K686" s="315"/>
    </row>
    <row r="687" spans="5:11">
      <c r="E687" s="315"/>
      <c r="F687" s="315"/>
      <c r="G687" s="315"/>
      <c r="H687" s="315"/>
      <c r="I687" s="315"/>
      <c r="J687" s="315"/>
      <c r="K687" s="315"/>
    </row>
    <row r="688" spans="5:11">
      <c r="E688" s="315"/>
      <c r="F688" s="315"/>
      <c r="G688" s="315"/>
      <c r="H688" s="315"/>
      <c r="I688" s="315"/>
      <c r="J688" s="315"/>
      <c r="K688" s="315"/>
    </row>
    <row r="689" spans="5:11">
      <c r="E689" s="315"/>
      <c r="F689" s="315"/>
      <c r="G689" s="315"/>
      <c r="H689" s="315"/>
      <c r="I689" s="315"/>
      <c r="J689" s="315"/>
      <c r="K689" s="315"/>
    </row>
    <row r="690" spans="5:11">
      <c r="E690" s="315"/>
      <c r="F690" s="315"/>
      <c r="G690" s="315"/>
      <c r="H690" s="315"/>
      <c r="I690" s="315"/>
      <c r="J690" s="315"/>
      <c r="K690" s="315"/>
    </row>
    <row r="691" spans="5:11">
      <c r="E691" s="315"/>
      <c r="F691" s="315"/>
      <c r="G691" s="315"/>
      <c r="H691" s="315"/>
      <c r="I691" s="315"/>
      <c r="J691" s="315"/>
      <c r="K691" s="315"/>
    </row>
    <row r="692" spans="5:11">
      <c r="E692" s="315"/>
      <c r="F692" s="315"/>
      <c r="G692" s="315"/>
      <c r="H692" s="315"/>
      <c r="I692" s="315"/>
      <c r="J692" s="315"/>
      <c r="K692" s="315"/>
    </row>
    <row r="693" spans="5:11">
      <c r="E693" s="315"/>
      <c r="F693" s="315"/>
      <c r="G693" s="315"/>
      <c r="H693" s="315"/>
      <c r="I693" s="315"/>
      <c r="J693" s="315"/>
      <c r="K693" s="315"/>
    </row>
    <row r="694" spans="5:11">
      <c r="E694" s="315"/>
      <c r="F694" s="315"/>
      <c r="G694" s="315"/>
      <c r="H694" s="315"/>
      <c r="I694" s="315"/>
      <c r="J694" s="315"/>
      <c r="K694" s="315"/>
    </row>
    <row r="695" spans="5:11">
      <c r="E695" s="315"/>
      <c r="F695" s="315"/>
      <c r="G695" s="315"/>
      <c r="H695" s="315"/>
      <c r="I695" s="315"/>
      <c r="J695" s="315"/>
      <c r="K695" s="315"/>
    </row>
    <row r="696" spans="5:11">
      <c r="E696" s="315"/>
      <c r="F696" s="315"/>
      <c r="G696" s="315"/>
      <c r="H696" s="315"/>
      <c r="I696" s="315"/>
      <c r="J696" s="315"/>
      <c r="K696" s="315"/>
    </row>
    <row r="697" spans="5:11">
      <c r="E697" s="315"/>
      <c r="F697" s="315"/>
      <c r="G697" s="315"/>
      <c r="H697" s="315"/>
      <c r="I697" s="315"/>
      <c r="J697" s="315"/>
      <c r="K697" s="315"/>
    </row>
    <row r="698" spans="5:11">
      <c r="E698" s="315"/>
      <c r="F698" s="315"/>
      <c r="G698" s="315"/>
      <c r="H698" s="315"/>
      <c r="I698" s="315"/>
      <c r="J698" s="315"/>
      <c r="K698" s="315"/>
    </row>
    <row r="699" spans="5:11">
      <c r="E699" s="315"/>
      <c r="F699" s="315"/>
      <c r="G699" s="315"/>
      <c r="H699" s="315"/>
      <c r="I699" s="315"/>
      <c r="J699" s="315"/>
      <c r="K699" s="315"/>
    </row>
    <row r="700" spans="5:11">
      <c r="E700" s="315"/>
      <c r="F700" s="315"/>
      <c r="G700" s="315"/>
      <c r="H700" s="315"/>
      <c r="I700" s="315"/>
      <c r="J700" s="315"/>
      <c r="K700" s="315"/>
    </row>
    <row r="701" spans="5:11">
      <c r="E701" s="315"/>
      <c r="F701" s="315"/>
      <c r="G701" s="315"/>
      <c r="H701" s="315"/>
      <c r="I701" s="315"/>
      <c r="J701" s="315"/>
      <c r="K701" s="315"/>
    </row>
    <row r="702" spans="5:11">
      <c r="E702" s="315"/>
      <c r="F702" s="315"/>
      <c r="G702" s="315"/>
      <c r="H702" s="315"/>
      <c r="I702" s="315"/>
      <c r="J702" s="315"/>
      <c r="K702" s="315"/>
    </row>
    <row r="703" spans="5:11">
      <c r="E703" s="315"/>
      <c r="F703" s="315"/>
      <c r="G703" s="315"/>
      <c r="H703" s="315"/>
      <c r="I703" s="315"/>
      <c r="J703" s="315"/>
      <c r="K703" s="315"/>
    </row>
    <row r="704" spans="5:11">
      <c r="E704" s="315"/>
      <c r="F704" s="315"/>
      <c r="G704" s="315"/>
      <c r="H704" s="315"/>
      <c r="I704" s="315"/>
      <c r="J704" s="315"/>
      <c r="K704" s="315"/>
    </row>
    <row r="705" spans="5:11">
      <c r="E705" s="315"/>
      <c r="F705" s="315"/>
      <c r="G705" s="315"/>
      <c r="H705" s="315"/>
      <c r="I705" s="315"/>
      <c r="J705" s="315"/>
      <c r="K705" s="315"/>
    </row>
    <row r="706" spans="5:11">
      <c r="E706" s="315"/>
      <c r="F706" s="315"/>
      <c r="G706" s="315"/>
      <c r="H706" s="315"/>
      <c r="I706" s="315"/>
      <c r="J706" s="315"/>
      <c r="K706" s="315"/>
    </row>
    <row r="707" spans="5:11">
      <c r="E707" s="315"/>
      <c r="F707" s="315"/>
      <c r="G707" s="315"/>
      <c r="H707" s="315"/>
      <c r="I707" s="315"/>
      <c r="J707" s="315"/>
      <c r="K707" s="315"/>
    </row>
    <row r="708" spans="5:11">
      <c r="E708" s="315"/>
      <c r="F708" s="315"/>
      <c r="G708" s="315"/>
      <c r="H708" s="315"/>
      <c r="I708" s="315"/>
      <c r="J708" s="315"/>
      <c r="K708" s="315"/>
    </row>
    <row r="709" spans="5:11">
      <c r="E709" s="315"/>
      <c r="F709" s="315"/>
      <c r="G709" s="315"/>
      <c r="H709" s="315"/>
      <c r="I709" s="315"/>
      <c r="J709" s="315"/>
      <c r="K709" s="315"/>
    </row>
    <row r="710" spans="5:11">
      <c r="E710" s="315"/>
      <c r="F710" s="315"/>
      <c r="G710" s="315"/>
      <c r="H710" s="315"/>
      <c r="I710" s="315"/>
      <c r="J710" s="315"/>
      <c r="K710" s="315"/>
    </row>
    <row r="711" spans="5:11">
      <c r="E711" s="315"/>
      <c r="F711" s="315"/>
      <c r="G711" s="315"/>
      <c r="H711" s="315"/>
      <c r="I711" s="315"/>
      <c r="J711" s="315"/>
      <c r="K711" s="315"/>
    </row>
    <row r="712" spans="5:11">
      <c r="E712" s="315"/>
      <c r="F712" s="315"/>
      <c r="G712" s="315"/>
      <c r="H712" s="315"/>
      <c r="I712" s="315"/>
      <c r="J712" s="315"/>
      <c r="K712" s="315"/>
    </row>
    <row r="713" spans="5:11">
      <c r="E713" s="315"/>
      <c r="F713" s="315"/>
      <c r="G713" s="315"/>
      <c r="H713" s="315"/>
      <c r="I713" s="315"/>
      <c r="J713" s="315"/>
      <c r="K713" s="315"/>
    </row>
    <row r="714" spans="5:11">
      <c r="E714" s="315"/>
      <c r="F714" s="315"/>
      <c r="G714" s="315"/>
      <c r="H714" s="315"/>
      <c r="I714" s="315"/>
      <c r="J714" s="315"/>
      <c r="K714" s="315"/>
    </row>
    <row r="715" spans="5:11">
      <c r="E715" s="315"/>
      <c r="F715" s="315"/>
      <c r="G715" s="315"/>
      <c r="H715" s="315"/>
      <c r="I715" s="315"/>
      <c r="J715" s="315"/>
      <c r="K715" s="315"/>
    </row>
    <row r="716" spans="5:11">
      <c r="E716" s="315"/>
      <c r="F716" s="315"/>
      <c r="G716" s="315"/>
      <c r="H716" s="315"/>
      <c r="I716" s="315"/>
      <c r="J716" s="315"/>
      <c r="K716" s="315"/>
    </row>
    <row r="717" spans="5:11">
      <c r="E717" s="315"/>
      <c r="F717" s="315"/>
      <c r="G717" s="315"/>
      <c r="H717" s="315"/>
      <c r="I717" s="315"/>
      <c r="J717" s="315"/>
      <c r="K717" s="315"/>
    </row>
    <row r="718" spans="5:11">
      <c r="E718" s="315"/>
      <c r="F718" s="315"/>
      <c r="G718" s="315"/>
      <c r="H718" s="315"/>
      <c r="I718" s="315"/>
      <c r="J718" s="315"/>
      <c r="K718" s="315"/>
    </row>
    <row r="719" spans="5:11">
      <c r="E719" s="315"/>
      <c r="F719" s="315"/>
      <c r="G719" s="315"/>
      <c r="H719" s="315"/>
      <c r="I719" s="315"/>
      <c r="J719" s="315"/>
      <c r="K719" s="315"/>
    </row>
    <row r="720" spans="5:11">
      <c r="E720" s="315"/>
      <c r="F720" s="315"/>
      <c r="G720" s="315"/>
      <c r="H720" s="315"/>
      <c r="I720" s="315"/>
      <c r="J720" s="315"/>
      <c r="K720" s="315"/>
    </row>
    <row r="721" spans="5:11">
      <c r="E721" s="315"/>
      <c r="F721" s="315"/>
      <c r="G721" s="315"/>
      <c r="H721" s="315"/>
      <c r="I721" s="315"/>
      <c r="J721" s="315"/>
      <c r="K721" s="315"/>
    </row>
    <row r="722" spans="5:11">
      <c r="E722" s="315"/>
      <c r="F722" s="315"/>
      <c r="G722" s="315"/>
      <c r="H722" s="315"/>
      <c r="I722" s="315"/>
      <c r="J722" s="315"/>
      <c r="K722" s="315"/>
    </row>
    <row r="723" spans="5:11">
      <c r="E723" s="315"/>
      <c r="F723" s="315"/>
      <c r="G723" s="315"/>
      <c r="H723" s="315"/>
      <c r="I723" s="315"/>
      <c r="J723" s="315"/>
      <c r="K723" s="315"/>
    </row>
    <row r="724" spans="5:11">
      <c r="E724" s="315"/>
      <c r="F724" s="315"/>
      <c r="G724" s="315"/>
      <c r="H724" s="315"/>
      <c r="I724" s="315"/>
      <c r="J724" s="315"/>
      <c r="K724" s="315"/>
    </row>
    <row r="725" spans="5:11">
      <c r="E725" s="315"/>
      <c r="F725" s="315"/>
      <c r="G725" s="315"/>
      <c r="H725" s="315"/>
      <c r="I725" s="315"/>
      <c r="J725" s="315"/>
      <c r="K725" s="315"/>
    </row>
    <row r="726" spans="5:11">
      <c r="E726" s="315"/>
      <c r="F726" s="315"/>
      <c r="G726" s="315"/>
      <c r="H726" s="315"/>
      <c r="I726" s="315"/>
      <c r="J726" s="315"/>
      <c r="K726" s="315"/>
    </row>
    <row r="727" spans="5:11">
      <c r="E727" s="315"/>
      <c r="F727" s="315"/>
      <c r="G727" s="315"/>
      <c r="H727" s="315"/>
      <c r="I727" s="315"/>
      <c r="J727" s="315"/>
      <c r="K727" s="315"/>
    </row>
    <row r="728" spans="5:11">
      <c r="E728" s="315"/>
      <c r="F728" s="315"/>
      <c r="G728" s="315"/>
      <c r="H728" s="315"/>
      <c r="I728" s="315"/>
      <c r="J728" s="315"/>
      <c r="K728" s="315"/>
    </row>
    <row r="729" spans="5:11">
      <c r="E729" s="315"/>
      <c r="F729" s="315"/>
      <c r="G729" s="315"/>
      <c r="H729" s="315"/>
      <c r="I729" s="315"/>
      <c r="J729" s="315"/>
      <c r="K729" s="315"/>
    </row>
    <row r="730" spans="5:11">
      <c r="E730" s="315"/>
      <c r="F730" s="315"/>
      <c r="G730" s="315"/>
      <c r="H730" s="315"/>
      <c r="I730" s="315"/>
      <c r="J730" s="315"/>
      <c r="K730" s="315"/>
    </row>
    <row r="731" spans="5:11">
      <c r="E731" s="315"/>
      <c r="F731" s="315"/>
      <c r="G731" s="315"/>
      <c r="H731" s="315"/>
      <c r="I731" s="315"/>
      <c r="J731" s="315"/>
      <c r="K731" s="315"/>
    </row>
    <row r="732" spans="5:11">
      <c r="E732" s="315"/>
      <c r="F732" s="315"/>
      <c r="G732" s="315"/>
      <c r="H732" s="315"/>
      <c r="I732" s="315"/>
      <c r="J732" s="315"/>
      <c r="K732" s="315"/>
    </row>
    <row r="733" spans="5:11">
      <c r="E733" s="315"/>
      <c r="F733" s="315"/>
      <c r="G733" s="315"/>
      <c r="H733" s="315"/>
      <c r="I733" s="315"/>
      <c r="J733" s="315"/>
      <c r="K733" s="315"/>
    </row>
    <row r="734" spans="5:11">
      <c r="E734" s="315"/>
      <c r="F734" s="315"/>
      <c r="G734" s="315"/>
      <c r="H734" s="315"/>
      <c r="I734" s="315"/>
      <c r="J734" s="315"/>
      <c r="K734" s="315"/>
    </row>
    <row r="735" spans="5:11">
      <c r="E735" s="315"/>
      <c r="F735" s="315"/>
      <c r="G735" s="315"/>
      <c r="H735" s="315"/>
      <c r="I735" s="315"/>
      <c r="J735" s="315"/>
      <c r="K735" s="315"/>
    </row>
    <row r="736" spans="5:11">
      <c r="E736" s="315"/>
      <c r="F736" s="315"/>
      <c r="G736" s="315"/>
      <c r="H736" s="315"/>
      <c r="I736" s="315"/>
      <c r="J736" s="315"/>
      <c r="K736" s="315"/>
    </row>
    <row r="737" spans="5:11">
      <c r="E737" s="315"/>
      <c r="F737" s="315"/>
      <c r="G737" s="315"/>
      <c r="H737" s="315"/>
      <c r="I737" s="315"/>
      <c r="J737" s="315"/>
      <c r="K737" s="315"/>
    </row>
    <row r="738" spans="5:11">
      <c r="E738" s="315"/>
      <c r="F738" s="315"/>
      <c r="G738" s="315"/>
      <c r="H738" s="315"/>
      <c r="I738" s="315"/>
      <c r="J738" s="315"/>
      <c r="K738" s="315"/>
    </row>
    <row r="739" spans="5:11">
      <c r="E739" s="315"/>
      <c r="F739" s="315"/>
      <c r="G739" s="315"/>
      <c r="H739" s="315"/>
      <c r="I739" s="315"/>
      <c r="J739" s="315"/>
      <c r="K739" s="315"/>
    </row>
    <row r="740" spans="5:11">
      <c r="E740" s="315"/>
      <c r="F740" s="315"/>
      <c r="G740" s="315"/>
      <c r="H740" s="315"/>
      <c r="I740" s="315"/>
      <c r="J740" s="315"/>
      <c r="K740" s="315"/>
    </row>
    <row r="741" spans="5:11">
      <c r="E741" s="315"/>
      <c r="F741" s="315"/>
      <c r="G741" s="315"/>
      <c r="H741" s="315"/>
      <c r="I741" s="315"/>
      <c r="J741" s="315"/>
      <c r="K741" s="315"/>
    </row>
    <row r="742" spans="5:11">
      <c r="E742" s="315"/>
      <c r="F742" s="315"/>
      <c r="G742" s="315"/>
      <c r="H742" s="315"/>
      <c r="I742" s="315"/>
      <c r="J742" s="315"/>
      <c r="K742" s="315"/>
    </row>
    <row r="743" spans="5:11">
      <c r="E743" s="315"/>
      <c r="F743" s="315"/>
      <c r="G743" s="315"/>
      <c r="H743" s="315"/>
      <c r="I743" s="315"/>
      <c r="J743" s="315"/>
      <c r="K743" s="315"/>
    </row>
    <row r="744" spans="5:11">
      <c r="E744" s="315"/>
      <c r="F744" s="315"/>
      <c r="G744" s="315"/>
      <c r="H744" s="315"/>
      <c r="I744" s="315"/>
      <c r="J744" s="315"/>
      <c r="K744" s="315"/>
    </row>
    <row r="745" spans="5:11">
      <c r="E745" s="315"/>
      <c r="F745" s="315"/>
      <c r="G745" s="315"/>
      <c r="H745" s="315"/>
      <c r="I745" s="315"/>
      <c r="J745" s="315"/>
      <c r="K745" s="315"/>
    </row>
    <row r="746" spans="5:11">
      <c r="E746" s="315"/>
      <c r="F746" s="315"/>
      <c r="G746" s="315"/>
      <c r="H746" s="315"/>
      <c r="I746" s="315"/>
      <c r="J746" s="315"/>
      <c r="K746" s="315"/>
    </row>
    <row r="747" spans="5:11">
      <c r="E747" s="315"/>
      <c r="F747" s="315"/>
      <c r="G747" s="315"/>
      <c r="H747" s="315"/>
      <c r="I747" s="315"/>
      <c r="J747" s="315"/>
      <c r="K747" s="315"/>
    </row>
    <row r="748" spans="5:11">
      <c r="E748" s="315"/>
      <c r="F748" s="315"/>
      <c r="G748" s="315"/>
      <c r="H748" s="315"/>
      <c r="I748" s="315"/>
      <c r="J748" s="315"/>
      <c r="K748" s="315"/>
    </row>
    <row r="749" spans="5:11">
      <c r="E749" s="315"/>
      <c r="F749" s="315"/>
      <c r="G749" s="315"/>
      <c r="H749" s="315"/>
      <c r="I749" s="315"/>
      <c r="J749" s="315"/>
      <c r="K749" s="315"/>
    </row>
    <row r="750" spans="5:11">
      <c r="E750" s="315"/>
      <c r="F750" s="315"/>
      <c r="G750" s="315"/>
      <c r="H750" s="315"/>
      <c r="I750" s="315"/>
      <c r="J750" s="315"/>
      <c r="K750" s="315"/>
    </row>
    <row r="751" spans="5:11">
      <c r="E751" s="315"/>
      <c r="F751" s="315"/>
      <c r="G751" s="315"/>
      <c r="H751" s="315"/>
      <c r="I751" s="315"/>
      <c r="J751" s="315"/>
      <c r="K751" s="315"/>
    </row>
    <row r="752" spans="5:11">
      <c r="E752" s="315"/>
      <c r="F752" s="315"/>
      <c r="G752" s="315"/>
      <c r="H752" s="315"/>
      <c r="I752" s="315"/>
      <c r="J752" s="315"/>
      <c r="K752" s="315"/>
    </row>
    <row r="753" spans="5:11">
      <c r="E753" s="315"/>
      <c r="F753" s="315"/>
      <c r="G753" s="315"/>
      <c r="H753" s="315"/>
      <c r="I753" s="315"/>
      <c r="J753" s="315"/>
      <c r="K753" s="315"/>
    </row>
    <row r="754" spans="5:11">
      <c r="E754" s="315"/>
      <c r="F754" s="315"/>
      <c r="G754" s="315"/>
      <c r="H754" s="315"/>
      <c r="I754" s="315"/>
      <c r="J754" s="315"/>
      <c r="K754" s="315"/>
    </row>
    <row r="755" spans="5:11">
      <c r="E755" s="315"/>
      <c r="F755" s="315"/>
      <c r="G755" s="315"/>
      <c r="H755" s="315"/>
      <c r="I755" s="315"/>
      <c r="J755" s="315"/>
      <c r="K755" s="315"/>
    </row>
    <row r="756" spans="5:11">
      <c r="E756" s="315"/>
      <c r="F756" s="315"/>
      <c r="G756" s="315"/>
      <c r="H756" s="315"/>
      <c r="I756" s="315"/>
      <c r="J756" s="315"/>
      <c r="K756" s="315"/>
    </row>
    <row r="757" spans="5:11">
      <c r="E757" s="315"/>
      <c r="F757" s="315"/>
      <c r="G757" s="315"/>
      <c r="H757" s="315"/>
      <c r="I757" s="315"/>
      <c r="J757" s="315"/>
      <c r="K757" s="315"/>
    </row>
    <row r="758" spans="5:11">
      <c r="E758" s="315"/>
      <c r="F758" s="315"/>
      <c r="G758" s="315"/>
      <c r="H758" s="315"/>
      <c r="I758" s="315"/>
      <c r="J758" s="315"/>
      <c r="K758" s="315"/>
    </row>
    <row r="759" spans="5:11">
      <c r="E759" s="315"/>
      <c r="F759" s="315"/>
      <c r="G759" s="315"/>
      <c r="H759" s="315"/>
      <c r="I759" s="315"/>
      <c r="J759" s="315"/>
      <c r="K759" s="315"/>
    </row>
    <row r="760" spans="5:11">
      <c r="E760" s="315"/>
      <c r="F760" s="315"/>
      <c r="G760" s="315"/>
      <c r="H760" s="315"/>
      <c r="I760" s="315"/>
      <c r="J760" s="315"/>
      <c r="K760" s="315"/>
    </row>
    <row r="761" spans="5:11">
      <c r="E761" s="315"/>
      <c r="F761" s="315"/>
      <c r="G761" s="315"/>
      <c r="H761" s="315"/>
      <c r="I761" s="315"/>
      <c r="J761" s="315"/>
      <c r="K761" s="315"/>
    </row>
    <row r="762" spans="5:11">
      <c r="E762" s="315"/>
      <c r="F762" s="315"/>
      <c r="G762" s="315"/>
      <c r="H762" s="315"/>
      <c r="I762" s="315"/>
      <c r="J762" s="315"/>
      <c r="K762" s="315"/>
    </row>
    <row r="763" spans="5:11">
      <c r="E763" s="315"/>
      <c r="F763" s="315"/>
      <c r="G763" s="315"/>
      <c r="H763" s="315"/>
      <c r="I763" s="315"/>
      <c r="J763" s="315"/>
      <c r="K763" s="315"/>
    </row>
    <row r="764" spans="5:11">
      <c r="E764" s="315"/>
      <c r="F764" s="315"/>
      <c r="G764" s="315"/>
      <c r="H764" s="315"/>
      <c r="I764" s="315"/>
      <c r="J764" s="315"/>
      <c r="K764" s="315"/>
    </row>
    <row r="765" spans="5:11">
      <c r="E765" s="315"/>
      <c r="F765" s="315"/>
      <c r="G765" s="315"/>
      <c r="H765" s="315"/>
      <c r="I765" s="315"/>
      <c r="J765" s="315"/>
      <c r="K765" s="315"/>
    </row>
    <row r="766" spans="5:11">
      <c r="E766" s="315"/>
      <c r="F766" s="315"/>
      <c r="G766" s="315"/>
      <c r="H766" s="315"/>
      <c r="I766" s="315"/>
      <c r="J766" s="315"/>
      <c r="K766" s="315"/>
    </row>
    <row r="767" spans="5:11">
      <c r="E767" s="315"/>
      <c r="F767" s="315"/>
      <c r="G767" s="315"/>
      <c r="H767" s="315"/>
      <c r="I767" s="315"/>
      <c r="J767" s="315"/>
      <c r="K767" s="315"/>
    </row>
    <row r="768" spans="5:11">
      <c r="E768" s="315"/>
      <c r="F768" s="315"/>
      <c r="G768" s="315"/>
      <c r="H768" s="315"/>
      <c r="I768" s="315"/>
      <c r="J768" s="315"/>
      <c r="K768" s="315"/>
    </row>
    <row r="769" spans="5:11">
      <c r="E769" s="315"/>
      <c r="F769" s="315"/>
      <c r="G769" s="315"/>
      <c r="H769" s="315"/>
      <c r="I769" s="315"/>
      <c r="J769" s="315"/>
      <c r="K769" s="315"/>
    </row>
    <row r="770" spans="5:11">
      <c r="E770" s="315"/>
      <c r="F770" s="315"/>
      <c r="G770" s="315"/>
      <c r="H770" s="315"/>
      <c r="I770" s="315"/>
      <c r="J770" s="315"/>
      <c r="K770" s="315"/>
    </row>
    <row r="771" spans="5:11">
      <c r="E771" s="315"/>
      <c r="F771" s="315"/>
      <c r="G771" s="315"/>
      <c r="H771" s="315"/>
      <c r="I771" s="315"/>
      <c r="J771" s="315"/>
      <c r="K771" s="315"/>
    </row>
    <row r="772" spans="5:11">
      <c r="E772" s="315"/>
      <c r="F772" s="315"/>
      <c r="G772" s="315"/>
      <c r="H772" s="315"/>
      <c r="I772" s="315"/>
      <c r="J772" s="315"/>
      <c r="K772" s="315"/>
    </row>
    <row r="773" spans="5:11">
      <c r="E773" s="315"/>
      <c r="F773" s="315"/>
      <c r="G773" s="315"/>
      <c r="H773" s="315"/>
      <c r="I773" s="315"/>
      <c r="J773" s="315"/>
      <c r="K773" s="315"/>
    </row>
    <row r="774" spans="5:11">
      <c r="E774" s="315"/>
      <c r="F774" s="315"/>
      <c r="G774" s="315"/>
      <c r="H774" s="315"/>
      <c r="I774" s="315"/>
      <c r="J774" s="315"/>
      <c r="K774" s="315"/>
    </row>
    <row r="775" spans="5:11">
      <c r="E775" s="315"/>
      <c r="F775" s="315"/>
      <c r="G775" s="315"/>
      <c r="H775" s="315"/>
      <c r="I775" s="315"/>
      <c r="J775" s="315"/>
      <c r="K775" s="315"/>
    </row>
    <row r="776" spans="5:11">
      <c r="E776" s="315"/>
      <c r="F776" s="315"/>
      <c r="G776" s="315"/>
      <c r="H776" s="315"/>
      <c r="I776" s="315"/>
      <c r="J776" s="315"/>
      <c r="K776" s="315"/>
    </row>
    <row r="777" spans="5:11">
      <c r="E777" s="315"/>
      <c r="F777" s="315"/>
      <c r="G777" s="315"/>
      <c r="H777" s="315"/>
      <c r="I777" s="315"/>
      <c r="J777" s="315"/>
      <c r="K777" s="315"/>
    </row>
    <row r="778" spans="5:11">
      <c r="E778" s="315"/>
      <c r="F778" s="315"/>
      <c r="G778" s="315"/>
      <c r="H778" s="315"/>
      <c r="I778" s="315"/>
      <c r="J778" s="315"/>
      <c r="K778" s="315"/>
    </row>
    <row r="779" spans="5:11">
      <c r="E779" s="315"/>
      <c r="F779" s="315"/>
      <c r="G779" s="315"/>
      <c r="H779" s="315"/>
      <c r="I779" s="315"/>
      <c r="J779" s="315"/>
      <c r="K779" s="315"/>
    </row>
    <row r="780" spans="5:11">
      <c r="E780" s="315"/>
      <c r="F780" s="315"/>
      <c r="G780" s="315"/>
      <c r="H780" s="315"/>
      <c r="I780" s="315"/>
      <c r="J780" s="315"/>
      <c r="K780" s="315"/>
    </row>
    <row r="781" spans="5:11">
      <c r="E781" s="315"/>
      <c r="F781" s="315"/>
      <c r="G781" s="315"/>
      <c r="H781" s="315"/>
      <c r="I781" s="315"/>
      <c r="J781" s="315"/>
      <c r="K781" s="315"/>
    </row>
    <row r="782" spans="5:11">
      <c r="E782" s="315"/>
      <c r="F782" s="315"/>
      <c r="G782" s="315"/>
      <c r="H782" s="315"/>
      <c r="I782" s="315"/>
      <c r="J782" s="315"/>
      <c r="K782" s="315"/>
    </row>
    <row r="783" spans="5:11">
      <c r="E783" s="315"/>
      <c r="F783" s="315"/>
      <c r="G783" s="315"/>
      <c r="H783" s="315"/>
      <c r="I783" s="315"/>
      <c r="J783" s="315"/>
      <c r="K783" s="315"/>
    </row>
    <row r="784" spans="5:11">
      <c r="E784" s="315"/>
      <c r="F784" s="315"/>
      <c r="G784" s="315"/>
      <c r="H784" s="315"/>
      <c r="I784" s="315"/>
      <c r="J784" s="315"/>
      <c r="K784" s="315"/>
    </row>
    <row r="785" spans="5:11">
      <c r="E785" s="315"/>
      <c r="F785" s="315"/>
      <c r="G785" s="315"/>
      <c r="H785" s="315"/>
      <c r="I785" s="315"/>
      <c r="J785" s="315"/>
      <c r="K785" s="315"/>
    </row>
    <row r="786" spans="5:11">
      <c r="E786" s="315"/>
      <c r="F786" s="315"/>
      <c r="G786" s="315"/>
      <c r="H786" s="315"/>
      <c r="I786" s="315"/>
      <c r="J786" s="315"/>
      <c r="K786" s="315"/>
    </row>
    <row r="787" spans="5:11">
      <c r="E787" s="315"/>
      <c r="F787" s="315"/>
      <c r="G787" s="315"/>
      <c r="H787" s="315"/>
      <c r="I787" s="315"/>
      <c r="J787" s="315"/>
      <c r="K787" s="315"/>
    </row>
    <row r="788" spans="5:11">
      <c r="E788" s="315"/>
      <c r="F788" s="315"/>
      <c r="G788" s="315"/>
      <c r="H788" s="315"/>
      <c r="I788" s="315"/>
      <c r="J788" s="315"/>
      <c r="K788" s="315"/>
    </row>
    <row r="789" spans="5:11">
      <c r="E789" s="315"/>
      <c r="F789" s="315"/>
      <c r="G789" s="315"/>
      <c r="H789" s="315"/>
      <c r="I789" s="315"/>
      <c r="J789" s="315"/>
      <c r="K789" s="315"/>
    </row>
    <row r="790" spans="5:11">
      <c r="E790" s="315"/>
      <c r="F790" s="315"/>
      <c r="G790" s="315"/>
      <c r="H790" s="315"/>
      <c r="I790" s="315"/>
      <c r="J790" s="315"/>
      <c r="K790" s="315"/>
    </row>
    <row r="791" spans="5:11">
      <c r="E791" s="315"/>
      <c r="F791" s="315"/>
      <c r="G791" s="315"/>
      <c r="H791" s="315"/>
      <c r="I791" s="315"/>
      <c r="J791" s="315"/>
      <c r="K791" s="315"/>
    </row>
    <row r="792" spans="5:11">
      <c r="E792" s="315"/>
      <c r="F792" s="315"/>
      <c r="G792" s="315"/>
      <c r="H792" s="315"/>
      <c r="I792" s="315"/>
      <c r="J792" s="315"/>
      <c r="K792" s="315"/>
    </row>
    <row r="793" spans="5:11">
      <c r="E793" s="315"/>
      <c r="F793" s="315"/>
      <c r="G793" s="315"/>
      <c r="H793" s="315"/>
      <c r="I793" s="315"/>
      <c r="J793" s="315"/>
      <c r="K793" s="315"/>
    </row>
    <row r="794" spans="5:11">
      <c r="E794" s="315"/>
      <c r="F794" s="315"/>
      <c r="G794" s="315"/>
      <c r="H794" s="315"/>
      <c r="I794" s="315"/>
      <c r="J794" s="315"/>
      <c r="K794" s="315"/>
    </row>
    <row r="795" spans="5:11">
      <c r="E795" s="315"/>
      <c r="F795" s="315"/>
      <c r="G795" s="315"/>
      <c r="H795" s="315"/>
      <c r="I795" s="315"/>
      <c r="J795" s="315"/>
      <c r="K795" s="315"/>
    </row>
    <row r="796" spans="5:11">
      <c r="E796" s="315"/>
      <c r="F796" s="315"/>
      <c r="G796" s="315"/>
      <c r="H796" s="315"/>
      <c r="I796" s="315"/>
      <c r="J796" s="315"/>
      <c r="K796" s="315"/>
    </row>
    <row r="797" spans="5:11">
      <c r="E797" s="315"/>
      <c r="F797" s="315"/>
      <c r="G797" s="315"/>
      <c r="H797" s="315"/>
      <c r="I797" s="315"/>
      <c r="J797" s="315"/>
      <c r="K797" s="315"/>
    </row>
    <row r="798" spans="5:11">
      <c r="E798" s="315"/>
      <c r="F798" s="315"/>
      <c r="G798" s="315"/>
      <c r="H798" s="315"/>
      <c r="I798" s="315"/>
      <c r="J798" s="315"/>
      <c r="K798" s="315"/>
    </row>
    <row r="799" spans="5:11">
      <c r="E799" s="315"/>
      <c r="F799" s="315"/>
      <c r="G799" s="315"/>
      <c r="H799" s="315"/>
      <c r="I799" s="315"/>
      <c r="J799" s="315"/>
      <c r="K799" s="315"/>
    </row>
    <row r="800" spans="5:11">
      <c r="E800" s="315"/>
      <c r="F800" s="315"/>
      <c r="G800" s="315"/>
      <c r="H800" s="315"/>
      <c r="I800" s="315"/>
      <c r="J800" s="315"/>
      <c r="K800" s="315"/>
    </row>
    <row r="801" spans="5:11">
      <c r="E801" s="315"/>
      <c r="F801" s="315"/>
      <c r="G801" s="315"/>
      <c r="H801" s="315"/>
      <c r="I801" s="315"/>
      <c r="J801" s="315"/>
      <c r="K801" s="315"/>
    </row>
    <row r="802" spans="5:11">
      <c r="E802" s="315"/>
      <c r="F802" s="315"/>
      <c r="G802" s="315"/>
      <c r="H802" s="315"/>
      <c r="I802" s="315"/>
      <c r="J802" s="315"/>
      <c r="K802" s="315"/>
    </row>
    <row r="803" spans="5:11">
      <c r="E803" s="315"/>
      <c r="F803" s="315"/>
      <c r="G803" s="315"/>
      <c r="H803" s="315"/>
      <c r="I803" s="315"/>
      <c r="J803" s="315"/>
      <c r="K803" s="315"/>
    </row>
    <row r="804" spans="5:11">
      <c r="E804" s="315"/>
      <c r="F804" s="315"/>
      <c r="G804" s="315"/>
      <c r="H804" s="315"/>
      <c r="I804" s="315"/>
      <c r="J804" s="315"/>
      <c r="K804" s="315"/>
    </row>
    <row r="805" spans="5:11">
      <c r="E805" s="315"/>
      <c r="F805" s="315"/>
      <c r="G805" s="315"/>
      <c r="H805" s="315"/>
      <c r="I805" s="315"/>
      <c r="J805" s="315"/>
      <c r="K805" s="315"/>
    </row>
    <row r="806" spans="5:11">
      <c r="E806" s="315"/>
      <c r="F806" s="315"/>
      <c r="G806" s="315"/>
      <c r="H806" s="315"/>
      <c r="I806" s="315"/>
      <c r="J806" s="315"/>
      <c r="K806" s="315"/>
    </row>
    <row r="807" spans="5:11">
      <c r="E807" s="315"/>
      <c r="F807" s="315"/>
      <c r="G807" s="315"/>
      <c r="H807" s="315"/>
      <c r="I807" s="315"/>
      <c r="J807" s="315"/>
      <c r="K807" s="315"/>
    </row>
    <row r="808" spans="5:11">
      <c r="E808" s="315"/>
      <c r="F808" s="315"/>
      <c r="G808" s="315"/>
      <c r="H808" s="315"/>
      <c r="I808" s="315"/>
      <c r="J808" s="315"/>
      <c r="K808" s="315"/>
    </row>
    <row r="809" spans="5:11">
      <c r="E809" s="315"/>
      <c r="F809" s="315"/>
      <c r="G809" s="315"/>
      <c r="H809" s="315"/>
      <c r="I809" s="315"/>
      <c r="J809" s="315"/>
      <c r="K809" s="315"/>
    </row>
    <row r="810" spans="5:11">
      <c r="E810" s="315"/>
      <c r="F810" s="315"/>
      <c r="G810" s="315"/>
      <c r="H810" s="315"/>
      <c r="I810" s="315"/>
      <c r="J810" s="315"/>
      <c r="K810" s="315"/>
    </row>
    <row r="811" spans="5:11">
      <c r="E811" s="315"/>
      <c r="F811" s="315"/>
      <c r="G811" s="315"/>
      <c r="H811" s="315"/>
      <c r="I811" s="315"/>
      <c r="J811" s="315"/>
      <c r="K811" s="315"/>
    </row>
    <row r="812" spans="5:11">
      <c r="E812" s="315"/>
      <c r="F812" s="315"/>
      <c r="G812" s="315"/>
      <c r="H812" s="315"/>
      <c r="I812" s="315"/>
      <c r="J812" s="315"/>
      <c r="K812" s="315"/>
    </row>
    <row r="813" spans="5:11">
      <c r="E813" s="315"/>
      <c r="F813" s="315"/>
      <c r="G813" s="315"/>
      <c r="H813" s="315"/>
      <c r="I813" s="315"/>
      <c r="J813" s="315"/>
      <c r="K813" s="315"/>
    </row>
    <row r="814" spans="5:11">
      <c r="E814" s="315"/>
      <c r="F814" s="315"/>
      <c r="G814" s="315"/>
      <c r="H814" s="315"/>
      <c r="I814" s="315"/>
      <c r="J814" s="315"/>
      <c r="K814" s="315"/>
    </row>
    <row r="815" spans="5:11">
      <c r="E815" s="315"/>
      <c r="F815" s="315"/>
      <c r="G815" s="315"/>
      <c r="H815" s="315"/>
      <c r="I815" s="315"/>
      <c r="J815" s="315"/>
      <c r="K815" s="315"/>
    </row>
    <row r="816" spans="5:11">
      <c r="E816" s="315"/>
      <c r="F816" s="315"/>
      <c r="G816" s="315"/>
      <c r="H816" s="315"/>
      <c r="I816" s="315"/>
      <c r="J816" s="315"/>
      <c r="K816" s="315"/>
    </row>
    <row r="817" spans="5:11">
      <c r="E817" s="315"/>
      <c r="F817" s="315"/>
      <c r="G817" s="315"/>
      <c r="H817" s="315"/>
      <c r="I817" s="315"/>
      <c r="J817" s="315"/>
      <c r="K817" s="315"/>
    </row>
    <row r="818" spans="5:11">
      <c r="E818" s="315"/>
      <c r="F818" s="315"/>
      <c r="G818" s="315"/>
      <c r="H818" s="315"/>
      <c r="I818" s="315"/>
      <c r="J818" s="315"/>
      <c r="K818" s="315"/>
    </row>
    <row r="819" spans="5:11">
      <c r="E819" s="315"/>
      <c r="F819" s="315"/>
      <c r="G819" s="315"/>
      <c r="H819" s="315"/>
      <c r="I819" s="315"/>
      <c r="J819" s="315"/>
      <c r="K819" s="315"/>
    </row>
    <row r="820" spans="5:11">
      <c r="E820" s="315"/>
      <c r="F820" s="315"/>
      <c r="G820" s="315"/>
      <c r="H820" s="315"/>
      <c r="I820" s="315"/>
      <c r="J820" s="315"/>
      <c r="K820" s="315"/>
    </row>
    <row r="821" spans="5:11">
      <c r="E821" s="315"/>
      <c r="F821" s="315"/>
      <c r="G821" s="315"/>
      <c r="H821" s="315"/>
      <c r="I821" s="315"/>
      <c r="J821" s="315"/>
      <c r="K821" s="315"/>
    </row>
    <row r="822" spans="5:11">
      <c r="E822" s="315"/>
      <c r="F822" s="315"/>
      <c r="G822" s="315"/>
      <c r="H822" s="315"/>
      <c r="I822" s="315"/>
      <c r="J822" s="315"/>
      <c r="K822" s="315"/>
    </row>
    <row r="823" spans="5:11">
      <c r="E823" s="315"/>
      <c r="F823" s="315"/>
      <c r="G823" s="315"/>
      <c r="H823" s="315"/>
      <c r="I823" s="315"/>
      <c r="J823" s="315"/>
      <c r="K823" s="315"/>
    </row>
    <row r="824" spans="5:11">
      <c r="E824" s="315"/>
      <c r="F824" s="315"/>
      <c r="G824" s="315"/>
      <c r="H824" s="315"/>
      <c r="I824" s="315"/>
      <c r="J824" s="315"/>
      <c r="K824" s="315"/>
    </row>
    <row r="825" spans="5:11">
      <c r="E825" s="315"/>
      <c r="F825" s="315"/>
      <c r="G825" s="315"/>
      <c r="H825" s="315"/>
      <c r="I825" s="315"/>
      <c r="J825" s="315"/>
      <c r="K825" s="315"/>
    </row>
    <row r="826" spans="5:11">
      <c r="E826" s="315"/>
      <c r="F826" s="315"/>
      <c r="G826" s="315"/>
      <c r="H826" s="315"/>
      <c r="I826" s="315"/>
      <c r="J826" s="315"/>
      <c r="K826" s="315"/>
    </row>
    <row r="827" spans="5:11">
      <c r="E827" s="315"/>
      <c r="F827" s="315"/>
      <c r="G827" s="315"/>
      <c r="H827" s="315"/>
      <c r="I827" s="315"/>
      <c r="J827" s="315"/>
      <c r="K827" s="315"/>
    </row>
    <row r="828" spans="5:11">
      <c r="E828" s="315"/>
      <c r="F828" s="315"/>
      <c r="G828" s="315"/>
      <c r="H828" s="315"/>
      <c r="I828" s="315"/>
      <c r="J828" s="315"/>
      <c r="K828" s="315"/>
    </row>
    <row r="829" spans="5:11">
      <c r="E829" s="315"/>
      <c r="F829" s="315"/>
      <c r="G829" s="315"/>
      <c r="H829" s="315"/>
      <c r="I829" s="315"/>
      <c r="J829" s="315"/>
      <c r="K829" s="315"/>
    </row>
    <row r="830" spans="5:11">
      <c r="E830" s="315"/>
      <c r="F830" s="315"/>
      <c r="G830" s="315"/>
      <c r="H830" s="315"/>
      <c r="I830" s="315"/>
      <c r="J830" s="315"/>
      <c r="K830" s="315"/>
    </row>
    <row r="831" spans="5:11">
      <c r="E831" s="315"/>
      <c r="F831" s="315"/>
      <c r="G831" s="315"/>
      <c r="H831" s="315"/>
      <c r="I831" s="315"/>
      <c r="J831" s="315"/>
      <c r="K831" s="315"/>
    </row>
    <row r="832" spans="5:11">
      <c r="E832" s="315"/>
      <c r="F832" s="315"/>
      <c r="G832" s="315"/>
      <c r="H832" s="315"/>
      <c r="I832" s="315"/>
      <c r="J832" s="315"/>
      <c r="K832" s="315"/>
    </row>
    <row r="833" spans="5:11">
      <c r="E833" s="315"/>
      <c r="F833" s="315"/>
      <c r="G833" s="315"/>
      <c r="H833" s="315"/>
      <c r="I833" s="315"/>
      <c r="J833" s="315"/>
      <c r="K833" s="315"/>
    </row>
    <row r="834" spans="5:11">
      <c r="E834" s="315"/>
      <c r="F834" s="315"/>
      <c r="G834" s="315"/>
      <c r="H834" s="315"/>
      <c r="I834" s="315"/>
      <c r="J834" s="315"/>
      <c r="K834" s="315"/>
    </row>
    <row r="835" spans="5:11">
      <c r="E835" s="315"/>
      <c r="F835" s="315"/>
      <c r="G835" s="315"/>
      <c r="H835" s="315"/>
      <c r="I835" s="315"/>
      <c r="J835" s="315"/>
      <c r="K835" s="315"/>
    </row>
    <row r="836" spans="5:11">
      <c r="E836" s="315"/>
      <c r="F836" s="315"/>
      <c r="G836" s="315"/>
      <c r="H836" s="315"/>
      <c r="I836" s="315"/>
      <c r="J836" s="315"/>
      <c r="K836" s="315"/>
    </row>
    <row r="837" spans="5:11">
      <c r="E837" s="315"/>
      <c r="F837" s="315"/>
      <c r="G837" s="315"/>
      <c r="H837" s="315"/>
      <c r="I837" s="315"/>
      <c r="J837" s="315"/>
      <c r="K837" s="315"/>
    </row>
    <row r="838" spans="5:11">
      <c r="E838" s="315"/>
      <c r="F838" s="315"/>
      <c r="G838" s="315"/>
      <c r="H838" s="315"/>
      <c r="I838" s="315"/>
      <c r="J838" s="315"/>
      <c r="K838" s="315"/>
    </row>
    <row r="839" spans="5:11">
      <c r="E839" s="315"/>
      <c r="F839" s="315"/>
      <c r="G839" s="315"/>
      <c r="H839" s="315"/>
      <c r="I839" s="315"/>
      <c r="J839" s="315"/>
      <c r="K839" s="315"/>
    </row>
    <row r="840" spans="5:11">
      <c r="E840" s="315"/>
      <c r="F840" s="315"/>
      <c r="G840" s="315"/>
      <c r="H840" s="315"/>
      <c r="I840" s="315"/>
      <c r="J840" s="315"/>
      <c r="K840" s="315"/>
    </row>
    <row r="841" spans="5:11">
      <c r="E841" s="315"/>
      <c r="F841" s="315"/>
      <c r="G841" s="315"/>
      <c r="H841" s="315"/>
      <c r="I841" s="315"/>
      <c r="J841" s="315"/>
      <c r="K841" s="315"/>
    </row>
    <row r="842" spans="5:11">
      <c r="E842" s="315"/>
      <c r="F842" s="315"/>
      <c r="G842" s="315"/>
      <c r="H842" s="315"/>
      <c r="I842" s="315"/>
      <c r="J842" s="315"/>
      <c r="K842" s="315"/>
    </row>
    <row r="843" spans="5:11">
      <c r="E843" s="315"/>
      <c r="F843" s="315"/>
      <c r="G843" s="315"/>
      <c r="H843" s="315"/>
      <c r="I843" s="315"/>
      <c r="J843" s="315"/>
      <c r="K843" s="315"/>
    </row>
    <row r="844" spans="5:11">
      <c r="E844" s="315"/>
      <c r="F844" s="315"/>
      <c r="G844" s="315"/>
      <c r="H844" s="315"/>
      <c r="I844" s="315"/>
      <c r="J844" s="315"/>
      <c r="K844" s="315"/>
    </row>
    <row r="845" spans="5:11">
      <c r="E845" s="315"/>
      <c r="F845" s="315"/>
      <c r="G845" s="315"/>
      <c r="H845" s="315"/>
      <c r="I845" s="315"/>
      <c r="J845" s="315"/>
      <c r="K845" s="315"/>
    </row>
    <row r="846" spans="5:11">
      <c r="E846" s="315"/>
      <c r="F846" s="315"/>
      <c r="G846" s="315"/>
      <c r="H846" s="315"/>
      <c r="I846" s="315"/>
      <c r="J846" s="315"/>
      <c r="K846" s="315"/>
    </row>
    <row r="847" spans="5:11">
      <c r="E847" s="315"/>
      <c r="F847" s="315"/>
      <c r="G847" s="315"/>
      <c r="H847" s="315"/>
      <c r="I847" s="315"/>
      <c r="J847" s="315"/>
      <c r="K847" s="315"/>
    </row>
    <row r="848" spans="5:11">
      <c r="E848" s="315"/>
      <c r="F848" s="315"/>
      <c r="G848" s="315"/>
      <c r="H848" s="315"/>
      <c r="I848" s="315"/>
      <c r="J848" s="315"/>
      <c r="K848" s="315"/>
    </row>
    <row r="849" spans="5:11">
      <c r="E849" s="315"/>
      <c r="F849" s="315"/>
      <c r="G849" s="315"/>
      <c r="H849" s="315"/>
      <c r="I849" s="315"/>
      <c r="J849" s="315"/>
      <c r="K849" s="315"/>
    </row>
    <row r="850" spans="5:11">
      <c r="E850" s="315"/>
      <c r="F850" s="315"/>
      <c r="G850" s="315"/>
      <c r="H850" s="315"/>
      <c r="I850" s="315"/>
      <c r="J850" s="315"/>
      <c r="K850" s="315"/>
    </row>
    <row r="851" spans="5:11">
      <c r="E851" s="315"/>
      <c r="F851" s="315"/>
      <c r="G851" s="315"/>
      <c r="H851" s="315"/>
      <c r="I851" s="315"/>
      <c r="J851" s="315"/>
      <c r="K851" s="315"/>
    </row>
    <row r="852" spans="5:11">
      <c r="E852" s="315"/>
      <c r="F852" s="315"/>
      <c r="G852" s="315"/>
      <c r="H852" s="315"/>
      <c r="I852" s="315"/>
      <c r="J852" s="315"/>
      <c r="K852" s="315"/>
    </row>
    <row r="853" spans="5:11">
      <c r="E853" s="315"/>
      <c r="F853" s="315"/>
      <c r="G853" s="315"/>
      <c r="H853" s="315"/>
      <c r="I853" s="315"/>
      <c r="J853" s="315"/>
      <c r="K853" s="315"/>
    </row>
    <row r="854" spans="5:11">
      <c r="E854" s="315"/>
      <c r="F854" s="315"/>
      <c r="G854" s="315"/>
      <c r="H854" s="315"/>
      <c r="I854" s="315"/>
      <c r="J854" s="315"/>
      <c r="K854" s="315"/>
    </row>
    <row r="855" spans="5:11">
      <c r="E855" s="315"/>
      <c r="F855" s="315"/>
      <c r="G855" s="315"/>
      <c r="H855" s="315"/>
      <c r="I855" s="315"/>
      <c r="J855" s="315"/>
      <c r="K855" s="315"/>
    </row>
    <row r="856" spans="5:11">
      <c r="E856" s="315"/>
      <c r="F856" s="315"/>
      <c r="G856" s="315"/>
      <c r="H856" s="315"/>
      <c r="I856" s="315"/>
      <c r="J856" s="315"/>
      <c r="K856" s="315"/>
    </row>
    <row r="857" spans="5:11">
      <c r="E857" s="315"/>
      <c r="F857" s="315"/>
      <c r="G857" s="315"/>
      <c r="H857" s="315"/>
      <c r="I857" s="315"/>
      <c r="J857" s="315"/>
      <c r="K857" s="315"/>
    </row>
    <row r="858" spans="5:11">
      <c r="E858" s="315"/>
      <c r="F858" s="315"/>
      <c r="G858" s="315"/>
      <c r="H858" s="315"/>
      <c r="I858" s="315"/>
      <c r="J858" s="315"/>
      <c r="K858" s="315"/>
    </row>
    <row r="859" spans="5:11">
      <c r="E859" s="315"/>
      <c r="F859" s="315"/>
      <c r="G859" s="315"/>
      <c r="H859" s="315"/>
      <c r="I859" s="315"/>
      <c r="J859" s="315"/>
      <c r="K859" s="315"/>
    </row>
    <row r="860" spans="5:11">
      <c r="E860" s="315"/>
      <c r="F860" s="315"/>
      <c r="G860" s="315"/>
      <c r="H860" s="315"/>
      <c r="I860" s="315"/>
      <c r="J860" s="315"/>
      <c r="K860" s="315"/>
    </row>
    <row r="861" spans="5:11">
      <c r="E861" s="315"/>
      <c r="F861" s="315"/>
      <c r="G861" s="315"/>
      <c r="H861" s="315"/>
      <c r="I861" s="315"/>
      <c r="J861" s="315"/>
      <c r="K861" s="315"/>
    </row>
    <row r="862" spans="5:11">
      <c r="E862" s="315"/>
      <c r="F862" s="315"/>
      <c r="G862" s="315"/>
      <c r="H862" s="315"/>
      <c r="I862" s="315"/>
      <c r="J862" s="315"/>
      <c r="K862" s="315"/>
    </row>
    <row r="863" spans="5:11">
      <c r="E863" s="315"/>
      <c r="F863" s="315"/>
      <c r="G863" s="315"/>
      <c r="H863" s="315"/>
      <c r="I863" s="315"/>
      <c r="J863" s="315"/>
      <c r="K863" s="315"/>
    </row>
    <row r="864" spans="5:11">
      <c r="E864" s="315"/>
      <c r="F864" s="315"/>
      <c r="G864" s="315"/>
      <c r="H864" s="315"/>
      <c r="I864" s="315"/>
      <c r="J864" s="315"/>
      <c r="K864" s="315"/>
    </row>
    <row r="865" spans="5:11">
      <c r="E865" s="315"/>
      <c r="F865" s="315"/>
      <c r="G865" s="315"/>
      <c r="H865" s="315"/>
      <c r="I865" s="315"/>
      <c r="J865" s="315"/>
      <c r="K865" s="315"/>
    </row>
    <row r="866" spans="5:11">
      <c r="E866" s="315"/>
      <c r="F866" s="315"/>
      <c r="G866" s="315"/>
      <c r="H866" s="315"/>
      <c r="I866" s="315"/>
      <c r="J866" s="315"/>
      <c r="K866" s="315"/>
    </row>
    <row r="867" spans="5:11">
      <c r="E867" s="315"/>
      <c r="F867" s="315"/>
      <c r="G867" s="315"/>
      <c r="H867" s="315"/>
      <c r="I867" s="315"/>
      <c r="J867" s="315"/>
      <c r="K867" s="315"/>
    </row>
    <row r="868" spans="5:11">
      <c r="E868" s="315"/>
      <c r="F868" s="315"/>
      <c r="G868" s="315"/>
      <c r="H868" s="315"/>
      <c r="I868" s="315"/>
      <c r="J868" s="315"/>
      <c r="K868" s="315"/>
    </row>
    <row r="869" spans="5:11">
      <c r="E869" s="315"/>
      <c r="F869" s="315"/>
      <c r="G869" s="315"/>
      <c r="H869" s="315"/>
      <c r="I869" s="315"/>
      <c r="J869" s="315"/>
      <c r="K869" s="315"/>
    </row>
    <row r="870" spans="5:11">
      <c r="E870" s="315"/>
      <c r="F870" s="315"/>
      <c r="G870" s="315"/>
      <c r="H870" s="315"/>
      <c r="I870" s="315"/>
      <c r="J870" s="315"/>
      <c r="K870" s="315"/>
    </row>
    <row r="871" spans="5:11">
      <c r="E871" s="315"/>
      <c r="F871" s="315"/>
      <c r="G871" s="315"/>
      <c r="H871" s="315"/>
      <c r="I871" s="315"/>
      <c r="J871" s="315"/>
      <c r="K871" s="315"/>
    </row>
    <row r="872" spans="5:11">
      <c r="E872" s="315"/>
      <c r="F872" s="315"/>
      <c r="G872" s="315"/>
      <c r="H872" s="315"/>
      <c r="I872" s="315"/>
      <c r="J872" s="315"/>
      <c r="K872" s="315"/>
    </row>
    <row r="873" spans="5:11">
      <c r="E873" s="315"/>
      <c r="F873" s="315"/>
      <c r="G873" s="315"/>
      <c r="H873" s="315"/>
      <c r="I873" s="315"/>
      <c r="J873" s="315"/>
      <c r="K873" s="315"/>
    </row>
    <row r="874" spans="5:11">
      <c r="E874" s="315"/>
      <c r="F874" s="315"/>
      <c r="G874" s="315"/>
      <c r="H874" s="315"/>
      <c r="I874" s="315"/>
      <c r="J874" s="315"/>
      <c r="K874" s="315"/>
    </row>
    <row r="875" spans="5:11">
      <c r="E875" s="315"/>
      <c r="F875" s="315"/>
      <c r="G875" s="315"/>
      <c r="H875" s="315"/>
      <c r="I875" s="315"/>
      <c r="J875" s="315"/>
      <c r="K875" s="315"/>
    </row>
    <row r="876" spans="5:11">
      <c r="E876" s="315"/>
      <c r="F876" s="315"/>
      <c r="G876" s="315"/>
      <c r="H876" s="315"/>
      <c r="I876" s="315"/>
      <c r="J876" s="315"/>
      <c r="K876" s="315"/>
    </row>
    <row r="877" spans="5:11">
      <c r="E877" s="315"/>
      <c r="F877" s="315"/>
      <c r="G877" s="315"/>
      <c r="H877" s="315"/>
      <c r="I877" s="315"/>
      <c r="J877" s="315"/>
      <c r="K877" s="315"/>
    </row>
    <row r="878" spans="5:11">
      <c r="E878" s="315"/>
      <c r="F878" s="315"/>
      <c r="G878" s="315"/>
      <c r="H878" s="315"/>
      <c r="I878" s="315"/>
      <c r="J878" s="315"/>
      <c r="K878" s="315"/>
    </row>
    <row r="879" spans="5:11">
      <c r="E879" s="315"/>
      <c r="F879" s="315"/>
      <c r="G879" s="315"/>
      <c r="H879" s="315"/>
      <c r="I879" s="315"/>
      <c r="J879" s="315"/>
      <c r="K879" s="315"/>
    </row>
    <row r="880" spans="5:11">
      <c r="E880" s="315"/>
      <c r="F880" s="315"/>
      <c r="G880" s="315"/>
      <c r="H880" s="315"/>
      <c r="I880" s="315"/>
      <c r="J880" s="315"/>
      <c r="K880" s="315"/>
    </row>
    <row r="881" spans="5:11">
      <c r="E881" s="315"/>
      <c r="F881" s="315"/>
      <c r="G881" s="315"/>
      <c r="H881" s="315"/>
      <c r="I881" s="315"/>
      <c r="J881" s="315"/>
      <c r="K881" s="315"/>
    </row>
    <row r="882" spans="5:11">
      <c r="E882" s="315"/>
      <c r="F882" s="315"/>
      <c r="G882" s="315"/>
      <c r="H882" s="315"/>
      <c r="I882" s="315"/>
      <c r="J882" s="315"/>
      <c r="K882" s="315"/>
    </row>
    <row r="883" spans="5:11">
      <c r="E883" s="315"/>
      <c r="F883" s="315"/>
      <c r="G883" s="315"/>
      <c r="H883" s="315"/>
      <c r="I883" s="315"/>
      <c r="J883" s="315"/>
      <c r="K883" s="315"/>
    </row>
    <row r="884" spans="5:11">
      <c r="E884" s="315"/>
      <c r="F884" s="315"/>
      <c r="G884" s="315"/>
      <c r="H884" s="315"/>
      <c r="I884" s="315"/>
      <c r="J884" s="315"/>
      <c r="K884" s="315"/>
    </row>
    <row r="885" spans="5:11">
      <c r="E885" s="315"/>
      <c r="F885" s="315"/>
      <c r="G885" s="315"/>
      <c r="H885" s="315"/>
      <c r="I885" s="315"/>
      <c r="J885" s="315"/>
      <c r="K885" s="315"/>
    </row>
    <row r="886" spans="5:11">
      <c r="E886" s="315"/>
      <c r="F886" s="315"/>
      <c r="G886" s="315"/>
      <c r="H886" s="315"/>
      <c r="I886" s="315"/>
      <c r="J886" s="315"/>
      <c r="K886" s="315"/>
    </row>
    <row r="887" spans="5:11">
      <c r="E887" s="315"/>
      <c r="F887" s="315"/>
      <c r="G887" s="315"/>
      <c r="H887" s="315"/>
      <c r="I887" s="315"/>
      <c r="J887" s="315"/>
      <c r="K887" s="315"/>
    </row>
    <row r="888" spans="5:11">
      <c r="E888" s="315"/>
      <c r="F888" s="315"/>
      <c r="G888" s="315"/>
      <c r="H888" s="315"/>
      <c r="I888" s="315"/>
      <c r="J888" s="315"/>
      <c r="K888" s="315"/>
    </row>
    <row r="889" spans="5:11">
      <c r="E889" s="315"/>
      <c r="F889" s="315"/>
      <c r="G889" s="315"/>
      <c r="H889" s="315"/>
      <c r="I889" s="315"/>
      <c r="J889" s="315"/>
      <c r="K889" s="315"/>
    </row>
    <row r="890" spans="5:11">
      <c r="E890" s="315"/>
      <c r="F890" s="315"/>
      <c r="G890" s="315"/>
      <c r="H890" s="315"/>
      <c r="I890" s="315"/>
      <c r="J890" s="315"/>
      <c r="K890" s="315"/>
    </row>
    <row r="891" spans="5:11">
      <c r="E891" s="315"/>
      <c r="F891" s="315"/>
      <c r="G891" s="315"/>
      <c r="H891" s="315"/>
      <c r="I891" s="315"/>
      <c r="J891" s="315"/>
      <c r="K891" s="315"/>
    </row>
    <row r="892" spans="5:11">
      <c r="E892" s="315"/>
      <c r="F892" s="315"/>
      <c r="G892" s="315"/>
      <c r="H892" s="315"/>
      <c r="I892" s="315"/>
      <c r="J892" s="315"/>
      <c r="K892" s="315"/>
    </row>
    <row r="893" spans="5:11">
      <c r="E893" s="315"/>
      <c r="F893" s="315"/>
      <c r="G893" s="315"/>
      <c r="H893" s="315"/>
      <c r="I893" s="315"/>
      <c r="J893" s="315"/>
      <c r="K893" s="315"/>
    </row>
    <row r="894" spans="5:11">
      <c r="E894" s="315"/>
      <c r="F894" s="315"/>
      <c r="G894" s="315"/>
      <c r="H894" s="315"/>
      <c r="I894" s="315"/>
      <c r="J894" s="315"/>
      <c r="K894" s="315"/>
    </row>
    <row r="895" spans="5:11">
      <c r="E895" s="315"/>
      <c r="F895" s="315"/>
      <c r="G895" s="315"/>
      <c r="H895" s="315"/>
      <c r="I895" s="315"/>
      <c r="J895" s="315"/>
      <c r="K895" s="315"/>
    </row>
    <row r="896" spans="5:11">
      <c r="E896" s="315"/>
      <c r="F896" s="315"/>
      <c r="G896" s="315"/>
      <c r="H896" s="315"/>
      <c r="I896" s="315"/>
      <c r="J896" s="315"/>
      <c r="K896" s="315"/>
    </row>
    <row r="897" spans="5:11">
      <c r="E897" s="315"/>
      <c r="F897" s="315"/>
      <c r="G897" s="315"/>
      <c r="H897" s="315"/>
      <c r="I897" s="315"/>
      <c r="J897" s="315"/>
      <c r="K897" s="315"/>
    </row>
    <row r="898" spans="5:11">
      <c r="E898" s="315"/>
      <c r="F898" s="315"/>
      <c r="G898" s="315"/>
      <c r="H898" s="315"/>
      <c r="I898" s="315"/>
      <c r="J898" s="315"/>
      <c r="K898" s="315"/>
    </row>
    <row r="899" spans="5:11">
      <c r="E899" s="315"/>
      <c r="F899" s="315"/>
      <c r="G899" s="315"/>
      <c r="H899" s="315"/>
      <c r="I899" s="315"/>
      <c r="J899" s="315"/>
      <c r="K899" s="315"/>
    </row>
    <row r="900" spans="5:11">
      <c r="E900" s="315"/>
      <c r="F900" s="315"/>
      <c r="G900" s="315"/>
      <c r="H900" s="315"/>
      <c r="I900" s="315"/>
      <c r="J900" s="315"/>
      <c r="K900" s="315"/>
    </row>
    <row r="901" spans="5:11">
      <c r="E901" s="315"/>
      <c r="F901" s="315"/>
      <c r="G901" s="315"/>
      <c r="H901" s="315"/>
      <c r="I901" s="315"/>
      <c r="J901" s="315"/>
      <c r="K901" s="315"/>
    </row>
    <row r="902" spans="5:11">
      <c r="E902" s="315"/>
      <c r="F902" s="315"/>
      <c r="G902" s="315"/>
      <c r="H902" s="315"/>
      <c r="I902" s="315"/>
      <c r="J902" s="315"/>
      <c r="K902" s="315"/>
    </row>
    <row r="903" spans="5:11">
      <c r="E903" s="315"/>
      <c r="F903" s="315"/>
      <c r="G903" s="315"/>
      <c r="H903" s="315"/>
      <c r="I903" s="315"/>
      <c r="J903" s="315"/>
      <c r="K903" s="315"/>
    </row>
    <row r="904" spans="5:11">
      <c r="E904" s="315"/>
      <c r="F904" s="315"/>
      <c r="G904" s="315"/>
      <c r="H904" s="315"/>
      <c r="I904" s="315"/>
      <c r="J904" s="315"/>
      <c r="K904" s="315"/>
    </row>
    <row r="905" spans="5:11">
      <c r="E905" s="315"/>
      <c r="F905" s="315"/>
      <c r="G905" s="315"/>
      <c r="H905" s="315"/>
      <c r="I905" s="315"/>
      <c r="J905" s="315"/>
      <c r="K905" s="315"/>
    </row>
    <row r="906" spans="5:11">
      <c r="E906" s="315"/>
      <c r="F906" s="315"/>
      <c r="G906" s="315"/>
      <c r="H906" s="315"/>
      <c r="I906" s="315"/>
      <c r="J906" s="315"/>
      <c r="K906" s="315"/>
    </row>
    <row r="907" spans="5:11">
      <c r="E907" s="315"/>
      <c r="F907" s="315"/>
      <c r="G907" s="315"/>
      <c r="H907" s="315"/>
      <c r="I907" s="315"/>
      <c r="J907" s="315"/>
      <c r="K907" s="315"/>
    </row>
    <row r="908" spans="5:11">
      <c r="E908" s="315"/>
      <c r="F908" s="315"/>
      <c r="G908" s="315"/>
      <c r="H908" s="315"/>
      <c r="I908" s="315"/>
      <c r="J908" s="315"/>
      <c r="K908" s="315"/>
    </row>
    <row r="909" spans="5:11">
      <c r="E909" s="315"/>
      <c r="F909" s="315"/>
      <c r="G909" s="315"/>
      <c r="H909" s="315"/>
      <c r="I909" s="315"/>
      <c r="J909" s="315"/>
      <c r="K909" s="315"/>
    </row>
    <row r="910" spans="5:11">
      <c r="E910" s="315"/>
      <c r="F910" s="315"/>
      <c r="G910" s="315"/>
      <c r="H910" s="315"/>
      <c r="I910" s="315"/>
      <c r="J910" s="315"/>
      <c r="K910" s="315"/>
    </row>
    <row r="911" spans="5:11">
      <c r="E911" s="315"/>
      <c r="F911" s="315"/>
      <c r="G911" s="315"/>
      <c r="H911" s="315"/>
      <c r="I911" s="315"/>
      <c r="J911" s="315"/>
      <c r="K911" s="315"/>
    </row>
    <row r="912" spans="5:11">
      <c r="E912" s="315"/>
      <c r="F912" s="315"/>
      <c r="G912" s="315"/>
      <c r="H912" s="315"/>
      <c r="I912" s="315"/>
      <c r="J912" s="315"/>
      <c r="K912" s="315"/>
    </row>
    <row r="913" spans="5:11">
      <c r="E913" s="315"/>
      <c r="F913" s="315"/>
      <c r="G913" s="315"/>
      <c r="H913" s="315"/>
      <c r="I913" s="315"/>
      <c r="J913" s="315"/>
      <c r="K913" s="315"/>
    </row>
    <row r="914" spans="5:11">
      <c r="E914" s="315"/>
      <c r="F914" s="315"/>
      <c r="G914" s="315"/>
      <c r="H914" s="315"/>
      <c r="I914" s="315"/>
      <c r="J914" s="315"/>
      <c r="K914" s="315"/>
    </row>
    <row r="915" spans="5:11">
      <c r="E915" s="315"/>
      <c r="F915" s="315"/>
      <c r="G915" s="315"/>
      <c r="H915" s="315"/>
      <c r="I915" s="315"/>
      <c r="J915" s="315"/>
      <c r="K915" s="315"/>
    </row>
    <row r="916" spans="5:11">
      <c r="E916" s="315"/>
      <c r="F916" s="315"/>
      <c r="G916" s="315"/>
      <c r="H916" s="315"/>
      <c r="I916" s="315"/>
      <c r="J916" s="315"/>
      <c r="K916" s="315"/>
    </row>
    <row r="917" spans="5:11">
      <c r="E917" s="315"/>
      <c r="F917" s="315"/>
      <c r="G917" s="315"/>
      <c r="H917" s="315"/>
      <c r="I917" s="315"/>
      <c r="J917" s="315"/>
      <c r="K917" s="315"/>
    </row>
    <row r="918" spans="5:11">
      <c r="E918" s="315"/>
      <c r="F918" s="315"/>
      <c r="G918" s="315"/>
      <c r="H918" s="315"/>
      <c r="I918" s="315"/>
      <c r="J918" s="315"/>
      <c r="K918" s="315"/>
    </row>
    <row r="919" spans="5:11">
      <c r="E919" s="315"/>
      <c r="F919" s="315"/>
      <c r="G919" s="315"/>
      <c r="H919" s="315"/>
      <c r="I919" s="315"/>
      <c r="J919" s="315"/>
      <c r="K919" s="315"/>
    </row>
    <row r="920" spans="5:11">
      <c r="E920" s="315"/>
      <c r="F920" s="315"/>
      <c r="G920" s="315"/>
      <c r="H920" s="315"/>
      <c r="I920" s="315"/>
      <c r="J920" s="315"/>
      <c r="K920" s="315"/>
    </row>
    <row r="921" spans="5:11">
      <c r="E921" s="315"/>
      <c r="F921" s="315"/>
      <c r="G921" s="315"/>
      <c r="H921" s="315"/>
      <c r="I921" s="315"/>
      <c r="J921" s="315"/>
      <c r="K921" s="315"/>
    </row>
    <row r="922" spans="5:11">
      <c r="E922" s="315"/>
      <c r="F922" s="315"/>
      <c r="G922" s="315"/>
      <c r="H922" s="315"/>
      <c r="I922" s="315"/>
      <c r="J922" s="315"/>
      <c r="K922" s="315"/>
    </row>
    <row r="923" spans="5:11">
      <c r="E923" s="315"/>
      <c r="F923" s="315"/>
      <c r="G923" s="315"/>
      <c r="H923" s="315"/>
      <c r="I923" s="315"/>
      <c r="J923" s="315"/>
      <c r="K923" s="315"/>
    </row>
    <row r="924" spans="5:11">
      <c r="E924" s="315"/>
      <c r="F924" s="315"/>
      <c r="G924" s="315"/>
      <c r="H924" s="315"/>
      <c r="I924" s="315"/>
      <c r="J924" s="315"/>
      <c r="K924" s="315"/>
    </row>
    <row r="925" spans="5:11">
      <c r="E925" s="315"/>
      <c r="F925" s="315"/>
      <c r="G925" s="315"/>
      <c r="H925" s="315"/>
      <c r="I925" s="315"/>
      <c r="J925" s="315"/>
      <c r="K925" s="315"/>
    </row>
    <row r="926" spans="5:11">
      <c r="E926" s="315"/>
      <c r="F926" s="315"/>
      <c r="G926" s="315"/>
      <c r="H926" s="315"/>
      <c r="I926" s="315"/>
      <c r="J926" s="315"/>
      <c r="K926" s="315"/>
    </row>
    <row r="927" spans="5:11">
      <c r="E927" s="315"/>
      <c r="F927" s="315"/>
      <c r="G927" s="315"/>
      <c r="H927" s="315"/>
      <c r="I927" s="315"/>
      <c r="J927" s="315"/>
      <c r="K927" s="315"/>
    </row>
    <row r="928" spans="5:11">
      <c r="E928" s="315"/>
      <c r="F928" s="315"/>
      <c r="G928" s="315"/>
      <c r="H928" s="315"/>
      <c r="I928" s="315"/>
      <c r="J928" s="315"/>
      <c r="K928" s="315"/>
    </row>
    <row r="929" spans="5:11">
      <c r="E929" s="315"/>
      <c r="F929" s="315"/>
      <c r="G929" s="315"/>
      <c r="H929" s="315"/>
      <c r="I929" s="315"/>
      <c r="J929" s="315"/>
      <c r="K929" s="315"/>
    </row>
    <row r="930" spans="5:11">
      <c r="E930" s="315"/>
      <c r="F930" s="315"/>
      <c r="G930" s="315"/>
      <c r="H930" s="315"/>
      <c r="I930" s="315"/>
      <c r="J930" s="315"/>
      <c r="K930" s="315"/>
    </row>
    <row r="931" spans="5:11">
      <c r="E931" s="315"/>
      <c r="F931" s="315"/>
      <c r="G931" s="315"/>
      <c r="H931" s="315"/>
      <c r="I931" s="315"/>
      <c r="J931" s="315"/>
      <c r="K931" s="315"/>
    </row>
    <row r="932" spans="5:11">
      <c r="E932" s="315"/>
      <c r="F932" s="315"/>
      <c r="G932" s="315"/>
      <c r="H932" s="315"/>
      <c r="I932" s="315"/>
      <c r="J932" s="315"/>
      <c r="K932" s="315"/>
    </row>
    <row r="933" spans="5:11">
      <c r="E933" s="315"/>
      <c r="F933" s="315"/>
      <c r="G933" s="315"/>
      <c r="H933" s="315"/>
      <c r="I933" s="315"/>
      <c r="J933" s="315"/>
      <c r="K933" s="315"/>
    </row>
    <row r="934" spans="5:11">
      <c r="E934" s="315"/>
      <c r="F934" s="315"/>
      <c r="G934" s="315"/>
      <c r="H934" s="315"/>
      <c r="I934" s="315"/>
      <c r="J934" s="315"/>
      <c r="K934" s="315"/>
    </row>
    <row r="935" spans="5:11">
      <c r="E935" s="315"/>
      <c r="F935" s="315"/>
      <c r="G935" s="315"/>
      <c r="H935" s="315"/>
      <c r="I935" s="315"/>
      <c r="J935" s="315"/>
      <c r="K935" s="315"/>
    </row>
    <row r="936" spans="5:11">
      <c r="E936" s="315"/>
      <c r="F936" s="315"/>
      <c r="G936" s="315"/>
      <c r="H936" s="315"/>
      <c r="I936" s="315"/>
      <c r="J936" s="315"/>
      <c r="K936" s="315"/>
    </row>
    <row r="937" spans="5:11">
      <c r="E937" s="315"/>
      <c r="F937" s="315"/>
      <c r="G937" s="315"/>
      <c r="H937" s="315"/>
      <c r="I937" s="315"/>
      <c r="J937" s="315"/>
      <c r="K937" s="315"/>
    </row>
    <row r="938" spans="5:11">
      <c r="E938" s="315"/>
      <c r="F938" s="315"/>
      <c r="G938" s="315"/>
      <c r="H938" s="315"/>
      <c r="I938" s="315"/>
      <c r="J938" s="315"/>
      <c r="K938" s="315"/>
    </row>
    <row r="939" spans="5:11">
      <c r="E939" s="315"/>
      <c r="F939" s="315"/>
      <c r="G939" s="315"/>
      <c r="H939" s="315"/>
      <c r="I939" s="315"/>
      <c r="J939" s="315"/>
      <c r="K939" s="315"/>
    </row>
    <row r="940" spans="5:11">
      <c r="E940" s="315"/>
      <c r="F940" s="315"/>
      <c r="G940" s="315"/>
      <c r="H940" s="315"/>
      <c r="I940" s="315"/>
      <c r="J940" s="315"/>
      <c r="K940" s="315"/>
    </row>
    <row r="941" spans="5:11">
      <c r="E941" s="315"/>
      <c r="F941" s="315"/>
      <c r="G941" s="315"/>
      <c r="H941" s="315"/>
      <c r="I941" s="315"/>
      <c r="J941" s="315"/>
      <c r="K941" s="315"/>
    </row>
    <row r="942" spans="5:11">
      <c r="E942" s="315"/>
      <c r="F942" s="315"/>
      <c r="G942" s="315"/>
      <c r="H942" s="315"/>
      <c r="I942" s="315"/>
      <c r="J942" s="315"/>
      <c r="K942" s="315"/>
    </row>
    <row r="943" spans="5:11">
      <c r="E943" s="315"/>
      <c r="F943" s="315"/>
      <c r="G943" s="315"/>
      <c r="H943" s="315"/>
      <c r="I943" s="315"/>
      <c r="J943" s="315"/>
      <c r="K943" s="315"/>
    </row>
    <row r="944" spans="5:11">
      <c r="E944" s="315"/>
      <c r="F944" s="315"/>
      <c r="G944" s="315"/>
      <c r="H944" s="315"/>
      <c r="I944" s="315"/>
      <c r="J944" s="315"/>
      <c r="K944" s="315"/>
    </row>
    <row r="945" spans="5:11">
      <c r="E945" s="315"/>
      <c r="F945" s="315"/>
      <c r="G945" s="315"/>
      <c r="H945" s="315"/>
      <c r="I945" s="315"/>
      <c r="J945" s="315"/>
      <c r="K945" s="315"/>
    </row>
    <row r="946" spans="5:11">
      <c r="E946" s="315"/>
      <c r="F946" s="315"/>
      <c r="G946" s="315"/>
      <c r="H946" s="315"/>
      <c r="I946" s="315"/>
      <c r="J946" s="315"/>
      <c r="K946" s="315"/>
    </row>
    <row r="947" spans="5:11">
      <c r="E947" s="315"/>
      <c r="F947" s="315"/>
      <c r="G947" s="315"/>
      <c r="H947" s="315"/>
      <c r="I947" s="315"/>
      <c r="J947" s="315"/>
      <c r="K947" s="315"/>
    </row>
    <row r="948" spans="5:11">
      <c r="E948" s="315"/>
      <c r="F948" s="315"/>
      <c r="G948" s="315"/>
      <c r="H948" s="315"/>
      <c r="I948" s="315"/>
      <c r="J948" s="315"/>
      <c r="K948" s="315"/>
    </row>
    <row r="949" spans="5:11">
      <c r="E949" s="315"/>
      <c r="F949" s="315"/>
      <c r="G949" s="315"/>
      <c r="H949" s="315"/>
      <c r="I949" s="315"/>
      <c r="J949" s="315"/>
      <c r="K949" s="315"/>
    </row>
    <row r="950" spans="5:11">
      <c r="E950" s="315"/>
      <c r="F950" s="315"/>
      <c r="G950" s="315"/>
      <c r="H950" s="315"/>
      <c r="I950" s="315"/>
      <c r="J950" s="315"/>
      <c r="K950" s="315"/>
    </row>
    <row r="951" spans="5:11">
      <c r="E951" s="315"/>
      <c r="F951" s="315"/>
      <c r="G951" s="315"/>
      <c r="H951" s="315"/>
      <c r="I951" s="315"/>
      <c r="J951" s="315"/>
      <c r="K951" s="315"/>
    </row>
    <row r="952" spans="5:11">
      <c r="E952" s="315"/>
      <c r="F952" s="315"/>
      <c r="G952" s="315"/>
      <c r="H952" s="315"/>
      <c r="I952" s="315"/>
      <c r="J952" s="315"/>
      <c r="K952" s="315"/>
    </row>
    <row r="953" spans="5:11">
      <c r="E953" s="315"/>
      <c r="F953" s="315"/>
      <c r="G953" s="315"/>
      <c r="H953" s="315"/>
      <c r="I953" s="315"/>
      <c r="J953" s="315"/>
      <c r="K953" s="315"/>
    </row>
    <row r="954" spans="5:11">
      <c r="E954" s="315"/>
      <c r="F954" s="315"/>
      <c r="G954" s="315"/>
      <c r="H954" s="315"/>
      <c r="I954" s="315"/>
      <c r="J954" s="315"/>
      <c r="K954" s="315"/>
    </row>
    <row r="955" spans="5:11">
      <c r="E955" s="315"/>
      <c r="F955" s="315"/>
      <c r="G955" s="315"/>
      <c r="H955" s="315"/>
      <c r="I955" s="315"/>
      <c r="J955" s="315"/>
      <c r="K955" s="315"/>
    </row>
    <row r="956" spans="5:11">
      <c r="E956" s="315"/>
      <c r="F956" s="315"/>
      <c r="G956" s="315"/>
      <c r="H956" s="315"/>
      <c r="I956" s="315"/>
      <c r="J956" s="315"/>
      <c r="K956" s="315"/>
    </row>
    <row r="957" spans="5:11">
      <c r="E957" s="315"/>
      <c r="F957" s="315"/>
      <c r="G957" s="315"/>
      <c r="H957" s="315"/>
      <c r="I957" s="315"/>
      <c r="J957" s="315"/>
      <c r="K957" s="315"/>
    </row>
    <row r="958" spans="5:11">
      <c r="E958" s="315"/>
      <c r="F958" s="315"/>
      <c r="G958" s="315"/>
      <c r="H958" s="315"/>
      <c r="I958" s="315"/>
      <c r="J958" s="315"/>
      <c r="K958" s="315"/>
    </row>
    <row r="959" spans="5:11">
      <c r="E959" s="315"/>
      <c r="F959" s="315"/>
      <c r="G959" s="315"/>
      <c r="H959" s="315"/>
      <c r="I959" s="315"/>
      <c r="J959" s="315"/>
      <c r="K959" s="315"/>
    </row>
    <row r="960" spans="5:11">
      <c r="E960" s="315"/>
      <c r="F960" s="315"/>
      <c r="G960" s="315"/>
      <c r="H960" s="315"/>
      <c r="I960" s="315"/>
      <c r="J960" s="315"/>
      <c r="K960" s="315"/>
    </row>
    <row r="961" spans="5:11">
      <c r="E961" s="315"/>
      <c r="F961" s="315"/>
      <c r="G961" s="315"/>
      <c r="H961" s="315"/>
      <c r="I961" s="315"/>
      <c r="J961" s="315"/>
      <c r="K961" s="315"/>
    </row>
    <row r="962" spans="5:11">
      <c r="E962" s="315"/>
      <c r="F962" s="315"/>
      <c r="G962" s="315"/>
      <c r="H962" s="315"/>
      <c r="I962" s="315"/>
      <c r="J962" s="315"/>
      <c r="K962" s="315"/>
    </row>
    <row r="963" spans="5:11">
      <c r="E963" s="315"/>
      <c r="F963" s="315"/>
      <c r="G963" s="315"/>
      <c r="H963" s="315"/>
      <c r="I963" s="315"/>
      <c r="J963" s="315"/>
      <c r="K963" s="315"/>
    </row>
    <row r="964" spans="5:11">
      <c r="E964" s="315"/>
      <c r="F964" s="315"/>
      <c r="G964" s="315"/>
      <c r="H964" s="315"/>
      <c r="I964" s="315"/>
      <c r="J964" s="315"/>
      <c r="K964" s="315"/>
    </row>
    <row r="965" spans="5:11">
      <c r="E965" s="315"/>
      <c r="F965" s="315"/>
      <c r="G965" s="315"/>
      <c r="H965" s="315"/>
      <c r="I965" s="315"/>
      <c r="J965" s="315"/>
      <c r="K965" s="315"/>
    </row>
    <row r="966" spans="5:11">
      <c r="E966" s="315"/>
      <c r="F966" s="315"/>
      <c r="G966" s="315"/>
      <c r="H966" s="315"/>
      <c r="I966" s="315"/>
      <c r="J966" s="315"/>
      <c r="K966" s="315"/>
    </row>
    <row r="967" spans="5:11">
      <c r="E967" s="315"/>
      <c r="F967" s="315"/>
      <c r="G967" s="315"/>
      <c r="H967" s="315"/>
      <c r="I967" s="315"/>
      <c r="J967" s="315"/>
      <c r="K967" s="315"/>
    </row>
    <row r="968" spans="5:11">
      <c r="E968" s="315"/>
      <c r="F968" s="315"/>
      <c r="G968" s="315"/>
      <c r="H968" s="315"/>
      <c r="I968" s="315"/>
      <c r="J968" s="315"/>
      <c r="K968" s="315"/>
    </row>
    <row r="969" spans="5:11">
      <c r="E969" s="315"/>
      <c r="F969" s="315"/>
      <c r="G969" s="315"/>
      <c r="H969" s="315"/>
      <c r="I969" s="315"/>
      <c r="J969" s="315"/>
      <c r="K969" s="315"/>
    </row>
    <row r="970" spans="5:11">
      <c r="E970" s="315"/>
      <c r="F970" s="315"/>
      <c r="G970" s="315"/>
      <c r="H970" s="315"/>
      <c r="I970" s="315"/>
      <c r="J970" s="315"/>
      <c r="K970" s="315"/>
    </row>
    <row r="971" spans="5:11">
      <c r="E971" s="315"/>
      <c r="F971" s="315"/>
      <c r="G971" s="315"/>
      <c r="H971" s="315"/>
      <c r="I971" s="315"/>
      <c r="J971" s="315"/>
      <c r="K971" s="315"/>
    </row>
    <row r="972" spans="5:11">
      <c r="E972" s="315"/>
      <c r="F972" s="315"/>
      <c r="G972" s="315"/>
      <c r="H972" s="315"/>
      <c r="I972" s="315"/>
      <c r="J972" s="315"/>
      <c r="K972" s="315"/>
    </row>
    <row r="973" spans="5:11">
      <c r="E973" s="315"/>
      <c r="F973" s="315"/>
      <c r="G973" s="315"/>
      <c r="H973" s="315"/>
      <c r="I973" s="315"/>
      <c r="J973" s="315"/>
      <c r="K973" s="315"/>
    </row>
    <row r="974" spans="5:11">
      <c r="E974" s="315"/>
      <c r="F974" s="315"/>
      <c r="G974" s="315"/>
      <c r="H974" s="315"/>
      <c r="I974" s="315"/>
      <c r="J974" s="315"/>
      <c r="K974" s="315"/>
    </row>
    <row r="975" spans="5:11">
      <c r="E975" s="315"/>
      <c r="F975" s="315"/>
      <c r="G975" s="315"/>
      <c r="H975" s="315"/>
      <c r="I975" s="315"/>
      <c r="J975" s="315"/>
      <c r="K975" s="315"/>
    </row>
    <row r="976" spans="5:11">
      <c r="E976" s="315"/>
      <c r="F976" s="315"/>
      <c r="G976" s="315"/>
      <c r="H976" s="315"/>
      <c r="I976" s="315"/>
      <c r="J976" s="315"/>
      <c r="K976" s="315"/>
    </row>
    <row r="977" spans="5:11">
      <c r="E977" s="315"/>
      <c r="F977" s="315"/>
      <c r="G977" s="315"/>
      <c r="H977" s="315"/>
      <c r="I977" s="315"/>
      <c r="J977" s="315"/>
      <c r="K977" s="315"/>
    </row>
    <row r="978" spans="5:11">
      <c r="E978" s="315"/>
      <c r="F978" s="315"/>
      <c r="G978" s="315"/>
      <c r="H978" s="315"/>
      <c r="I978" s="315"/>
      <c r="J978" s="315"/>
      <c r="K978" s="315"/>
    </row>
    <row r="979" spans="5:11">
      <c r="E979" s="315"/>
      <c r="F979" s="315"/>
      <c r="G979" s="315"/>
      <c r="H979" s="315"/>
      <c r="I979" s="315"/>
      <c r="J979" s="315"/>
      <c r="K979" s="315"/>
    </row>
    <row r="980" spans="5:11">
      <c r="E980" s="315"/>
      <c r="F980" s="315"/>
      <c r="G980" s="315"/>
      <c r="H980" s="315"/>
      <c r="I980" s="315"/>
      <c r="J980" s="315"/>
      <c r="K980" s="315"/>
    </row>
    <row r="981" spans="5:11">
      <c r="E981" s="315"/>
      <c r="F981" s="315"/>
      <c r="G981" s="315"/>
      <c r="H981" s="315"/>
      <c r="I981" s="315"/>
      <c r="J981" s="315"/>
      <c r="K981" s="315"/>
    </row>
    <row r="982" spans="5:11">
      <c r="E982" s="315"/>
      <c r="F982" s="315"/>
      <c r="G982" s="315"/>
      <c r="H982" s="315"/>
      <c r="I982" s="315"/>
      <c r="J982" s="315"/>
      <c r="K982" s="315"/>
    </row>
    <row r="983" spans="5:11">
      <c r="E983" s="315"/>
      <c r="F983" s="315"/>
      <c r="G983" s="315"/>
      <c r="H983" s="315"/>
      <c r="I983" s="315"/>
      <c r="J983" s="315"/>
      <c r="K983" s="315"/>
    </row>
    <row r="984" spans="5:11">
      <c r="E984" s="315"/>
      <c r="F984" s="315"/>
      <c r="G984" s="315"/>
      <c r="H984" s="315"/>
      <c r="I984" s="315"/>
      <c r="J984" s="315"/>
      <c r="K984" s="315"/>
    </row>
    <row r="985" spans="5:11">
      <c r="E985" s="315"/>
      <c r="F985" s="315"/>
      <c r="G985" s="315"/>
      <c r="H985" s="315"/>
      <c r="I985" s="315"/>
      <c r="J985" s="315"/>
      <c r="K985" s="315"/>
    </row>
    <row r="986" spans="5:11">
      <c r="E986" s="315"/>
      <c r="F986" s="315"/>
      <c r="G986" s="315"/>
      <c r="H986" s="315"/>
      <c r="I986" s="315"/>
      <c r="J986" s="315"/>
      <c r="K986" s="315"/>
    </row>
    <row r="987" spans="5:11">
      <c r="E987" s="315"/>
      <c r="F987" s="315"/>
      <c r="G987" s="315"/>
      <c r="H987" s="315"/>
      <c r="I987" s="315"/>
      <c r="J987" s="315"/>
      <c r="K987" s="315"/>
    </row>
    <row r="988" spans="5:11">
      <c r="E988" s="315"/>
      <c r="F988" s="315"/>
      <c r="G988" s="315"/>
      <c r="H988" s="315"/>
      <c r="I988" s="315"/>
      <c r="J988" s="315"/>
      <c r="K988" s="315"/>
    </row>
    <row r="989" spans="5:11">
      <c r="E989" s="315"/>
      <c r="F989" s="315"/>
      <c r="G989" s="315"/>
      <c r="H989" s="315"/>
      <c r="I989" s="315"/>
      <c r="J989" s="315"/>
      <c r="K989" s="315"/>
    </row>
    <row r="990" spans="5:11">
      <c r="E990" s="315"/>
      <c r="F990" s="315"/>
      <c r="G990" s="315"/>
      <c r="H990" s="315"/>
      <c r="I990" s="315"/>
      <c r="J990" s="315"/>
      <c r="K990" s="315"/>
    </row>
    <row r="991" spans="5:11">
      <c r="E991" s="315"/>
      <c r="F991" s="315"/>
      <c r="G991" s="315"/>
      <c r="H991" s="315"/>
      <c r="I991" s="315"/>
      <c r="J991" s="315"/>
      <c r="K991" s="315"/>
    </row>
    <row r="992" spans="5:11">
      <c r="E992" s="315"/>
      <c r="F992" s="315"/>
      <c r="G992" s="315"/>
      <c r="H992" s="315"/>
      <c r="I992" s="315"/>
      <c r="J992" s="315"/>
      <c r="K992" s="315"/>
    </row>
    <row r="993" spans="5:11">
      <c r="E993" s="315"/>
      <c r="F993" s="315"/>
      <c r="G993" s="315"/>
      <c r="H993" s="315"/>
      <c r="I993" s="315"/>
      <c r="J993" s="315"/>
      <c r="K993" s="315"/>
    </row>
    <row r="994" spans="5:11">
      <c r="E994" s="315"/>
      <c r="F994" s="315"/>
      <c r="G994" s="315"/>
      <c r="H994" s="315"/>
      <c r="I994" s="315"/>
      <c r="J994" s="315"/>
      <c r="K994" s="315"/>
    </row>
    <row r="995" spans="5:11">
      <c r="E995" s="315"/>
      <c r="F995" s="315"/>
      <c r="G995" s="315"/>
      <c r="H995" s="315"/>
      <c r="I995" s="315"/>
      <c r="J995" s="315"/>
      <c r="K995" s="315"/>
    </row>
    <row r="996" spans="5:11">
      <c r="E996" s="315"/>
      <c r="F996" s="315"/>
      <c r="G996" s="315"/>
      <c r="H996" s="315"/>
      <c r="I996" s="315"/>
      <c r="J996" s="315"/>
      <c r="K996" s="315"/>
    </row>
    <row r="997" spans="5:11">
      <c r="E997" s="315"/>
      <c r="F997" s="315"/>
      <c r="G997" s="315"/>
      <c r="H997" s="315"/>
      <c r="I997" s="315"/>
      <c r="J997" s="315"/>
      <c r="K997" s="315"/>
    </row>
    <row r="998" spans="5:11">
      <c r="E998" s="315"/>
      <c r="F998" s="315"/>
      <c r="G998" s="315"/>
      <c r="H998" s="315"/>
      <c r="I998" s="315"/>
      <c r="J998" s="315"/>
      <c r="K998" s="315"/>
    </row>
    <row r="999" spans="5:11">
      <c r="E999" s="315"/>
      <c r="F999" s="315"/>
      <c r="G999" s="315"/>
      <c r="H999" s="315"/>
      <c r="I999" s="315"/>
      <c r="J999" s="315"/>
      <c r="K999" s="315"/>
    </row>
    <row r="1000" spans="5:11">
      <c r="E1000" s="315"/>
      <c r="F1000" s="315"/>
      <c r="G1000" s="315"/>
      <c r="H1000" s="315"/>
      <c r="I1000" s="315"/>
      <c r="J1000" s="315"/>
      <c r="K1000" s="315"/>
    </row>
  </sheetData>
  <mergeCells count="1">
    <mergeCell ref="G4:K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961E4-218B-43D5-82DB-EBF486EC5812}">
  <dimension ref="A1:H59"/>
  <sheetViews>
    <sheetView workbookViewId="0">
      <selection activeCell="B62" sqref="B62"/>
    </sheetView>
  </sheetViews>
  <sheetFormatPr defaultColWidth="12.5703125" defaultRowHeight="15.75"/>
  <cols>
    <col min="1" max="1" width="44.85546875" style="2" bestFit="1" customWidth="1"/>
    <col min="2" max="3" width="13.42578125" style="2" bestFit="1" customWidth="1"/>
    <col min="4" max="4" width="12.140625" style="2" bestFit="1" customWidth="1"/>
    <col min="5" max="5" width="11.85546875" style="2" bestFit="1" customWidth="1"/>
    <col min="6" max="6" width="12.140625" style="2" bestFit="1" customWidth="1"/>
    <col min="7" max="7" width="11.85546875" style="2" bestFit="1" customWidth="1"/>
    <col min="8" max="9" width="12.5703125" style="2"/>
    <col min="10" max="10" width="30.7109375" style="2" bestFit="1" customWidth="1"/>
    <col min="11" max="12" width="28.5703125" style="2" bestFit="1" customWidth="1"/>
    <col min="13" max="13" width="16.5703125" style="2" bestFit="1" customWidth="1"/>
    <col min="14" max="16384" width="12.5703125" style="2"/>
  </cols>
  <sheetData>
    <row r="1" spans="1:7">
      <c r="A1" s="157" t="s">
        <v>364</v>
      </c>
      <c r="B1" s="157" t="s">
        <v>365</v>
      </c>
      <c r="C1" s="157" t="s">
        <v>366</v>
      </c>
      <c r="D1" s="157" t="s">
        <v>367</v>
      </c>
      <c r="E1" s="157" t="s">
        <v>368</v>
      </c>
      <c r="F1" s="199" t="s">
        <v>369</v>
      </c>
      <c r="G1" s="190"/>
    </row>
    <row r="2" spans="1:7">
      <c r="A2" s="144" t="s">
        <v>332</v>
      </c>
      <c r="B2" s="183">
        <f>'Revnue Projections'!G8</f>
        <v>0.03</v>
      </c>
      <c r="C2" s="183">
        <f>'Revnue Projections'!H8</f>
        <v>0.03</v>
      </c>
      <c r="D2" s="183">
        <f>'Revnue Projections'!I8</f>
        <v>0.04</v>
      </c>
      <c r="E2" s="183">
        <f>'Revnue Projections'!J8</f>
        <v>0.02</v>
      </c>
      <c r="F2" s="183">
        <f>'Revnue Projections'!K8</f>
        <v>0.05</v>
      </c>
      <c r="G2" s="210">
        <v>0.05</v>
      </c>
    </row>
    <row r="3" spans="1:7">
      <c r="A3" s="144" t="s">
        <v>283</v>
      </c>
      <c r="B3" s="183">
        <f>'Revnue Projections'!G26</f>
        <v>0.21652375239208266</v>
      </c>
      <c r="C3" s="183">
        <f>'Revnue Projections'!H26</f>
        <v>0.21652375239208266</v>
      </c>
      <c r="D3" s="183">
        <f>'Revnue Projections'!I26</f>
        <v>0.21652375239208266</v>
      </c>
      <c r="E3" s="183">
        <f>'Revnue Projections'!J26</f>
        <v>0.21652375239208266</v>
      </c>
      <c r="F3" s="183">
        <f>'Revnue Projections'!K26</f>
        <v>0.21652375239208266</v>
      </c>
      <c r="G3" s="210">
        <f>F3</f>
        <v>0.21652375239208266</v>
      </c>
    </row>
    <row r="4" spans="1:7">
      <c r="A4" s="144" t="s">
        <v>333</v>
      </c>
      <c r="B4" s="184">
        <v>0.1027</v>
      </c>
      <c r="C4" s="184">
        <v>0.1027</v>
      </c>
      <c r="D4" s="184">
        <v>0.1027</v>
      </c>
      <c r="E4" s="184">
        <v>0.1027</v>
      </c>
      <c r="F4" s="184">
        <v>0.1027</v>
      </c>
      <c r="G4" s="210">
        <f>F4</f>
        <v>0.1027</v>
      </c>
    </row>
    <row r="5" spans="1:7">
      <c r="A5" s="144" t="s">
        <v>334</v>
      </c>
      <c r="B5" s="183">
        <v>0.3</v>
      </c>
      <c r="C5" s="183">
        <v>0.27</v>
      </c>
      <c r="D5" s="183">
        <v>0.24</v>
      </c>
      <c r="E5" s="183">
        <v>0.24</v>
      </c>
      <c r="F5" s="200">
        <v>0.24</v>
      </c>
      <c r="G5" s="210">
        <v>0.24</v>
      </c>
    </row>
    <row r="6" spans="1:7">
      <c r="A6" s="144" t="s">
        <v>335</v>
      </c>
      <c r="B6" s="183">
        <v>0.1</v>
      </c>
      <c r="C6" s="183">
        <v>0.1</v>
      </c>
      <c r="D6" s="183">
        <v>0.1</v>
      </c>
      <c r="E6" s="183">
        <v>0.1</v>
      </c>
      <c r="F6" s="200">
        <v>0.1</v>
      </c>
      <c r="G6" s="210">
        <v>0.1</v>
      </c>
    </row>
    <row r="7" spans="1:7">
      <c r="A7" s="144" t="s">
        <v>336</v>
      </c>
      <c r="B7" s="183">
        <v>0.08</v>
      </c>
      <c r="C7" s="183">
        <v>0.08</v>
      </c>
      <c r="D7" s="183">
        <v>0.08</v>
      </c>
      <c r="E7" s="183">
        <v>0.08</v>
      </c>
      <c r="F7" s="200">
        <v>0.08</v>
      </c>
      <c r="G7" s="210">
        <v>0.08</v>
      </c>
    </row>
    <row r="8" spans="1:7">
      <c r="A8" s="144" t="s">
        <v>337</v>
      </c>
      <c r="B8" s="184">
        <v>2.8899999999999999E-2</v>
      </c>
      <c r="C8" s="184">
        <v>2.8899999999999999E-2</v>
      </c>
      <c r="D8" s="184">
        <v>2.8899999999999999E-2</v>
      </c>
      <c r="E8" s="184">
        <v>0.03</v>
      </c>
      <c r="F8" s="201">
        <v>0.03</v>
      </c>
      <c r="G8" s="211">
        <v>0.03</v>
      </c>
    </row>
    <row r="9" spans="1:7">
      <c r="A9" s="144" t="s">
        <v>338</v>
      </c>
      <c r="B9" s="184">
        <v>7.8799999999999995E-2</v>
      </c>
      <c r="C9" s="184">
        <v>7.8799999999999995E-2</v>
      </c>
      <c r="D9" s="184">
        <v>7.8799999999999995E-2</v>
      </c>
      <c r="E9" s="184">
        <v>7.8799999999999995E-2</v>
      </c>
      <c r="F9" s="184">
        <v>7.8799999999999995E-2</v>
      </c>
      <c r="G9" s="211">
        <v>7.8799999999999995E-2</v>
      </c>
    </row>
    <row r="13" spans="1:7">
      <c r="A13" s="157" t="s">
        <v>364</v>
      </c>
      <c r="B13" s="157" t="s">
        <v>365</v>
      </c>
      <c r="C13" s="157" t="s">
        <v>366</v>
      </c>
      <c r="D13" s="157" t="s">
        <v>367</v>
      </c>
      <c r="E13" s="157" t="s">
        <v>368</v>
      </c>
      <c r="F13" s="199" t="s">
        <v>369</v>
      </c>
      <c r="G13" s="190"/>
    </row>
    <row r="14" spans="1:7">
      <c r="A14" s="109" t="s">
        <v>339</v>
      </c>
      <c r="B14" s="186"/>
      <c r="C14" s="109"/>
      <c r="D14" s="109"/>
      <c r="E14" s="109"/>
      <c r="F14" s="193"/>
      <c r="G14" s="212"/>
    </row>
    <row r="15" spans="1:7">
      <c r="A15" s="109" t="s">
        <v>340</v>
      </c>
      <c r="B15" s="187">
        <f>ROUND('Appendix Statements'!B33,1)</f>
        <v>511825.6</v>
      </c>
      <c r="C15" s="187">
        <f>ROUND(B4*B25,1)</f>
        <v>414630.7</v>
      </c>
      <c r="D15" s="187">
        <f t="shared" ref="D15:F15" si="0">ROUND(C4*C25,1)</f>
        <v>427069.7</v>
      </c>
      <c r="E15" s="187">
        <f t="shared" si="0"/>
        <v>444152.5</v>
      </c>
      <c r="F15" s="202">
        <f t="shared" si="0"/>
        <v>453035.5</v>
      </c>
      <c r="G15" s="213">
        <f>ROUND(F4*F25,1)</f>
        <v>475687.3</v>
      </c>
    </row>
    <row r="16" spans="1:7">
      <c r="A16" s="109" t="s">
        <v>341</v>
      </c>
      <c r="B16" s="187">
        <f>ROUND('Appendix Statements'!B39,1)</f>
        <v>1360513</v>
      </c>
      <c r="C16" s="187">
        <f>ROUND(B5*B25,1)</f>
        <v>1211190.1000000001</v>
      </c>
      <c r="D16" s="187">
        <f>ROUND(C5*C25,1)</f>
        <v>1122773.2</v>
      </c>
      <c r="E16" s="187">
        <f>ROUND(D5*D25,1)</f>
        <v>1037941.5</v>
      </c>
      <c r="F16" s="202">
        <f>ROUND(E5*E25,1)</f>
        <v>1058700.3</v>
      </c>
      <c r="G16" s="213">
        <f>ROUND(F5*F25,1)</f>
        <v>1111635.3</v>
      </c>
    </row>
    <row r="17" spans="1:8">
      <c r="A17" s="109" t="s">
        <v>342</v>
      </c>
      <c r="B17" s="187">
        <f>ROUND('Appendix Statements'!B43,1)</f>
        <v>166988.4</v>
      </c>
      <c r="C17" s="187">
        <f>ROUND(B6*B25,1)</f>
        <v>403730</v>
      </c>
      <c r="D17" s="187">
        <f>ROUND(C6*C25,1)</f>
        <v>415841.9</v>
      </c>
      <c r="E17" s="187">
        <f>ROUND(D6*D25,1)</f>
        <v>432475.6</v>
      </c>
      <c r="F17" s="202">
        <f>ROUND(E6*E25,1)</f>
        <v>441125.1</v>
      </c>
      <c r="G17" s="213">
        <f>ROUND(F6*F25,1)</f>
        <v>463181.4</v>
      </c>
    </row>
    <row r="18" spans="1:8">
      <c r="A18" s="112" t="s">
        <v>343</v>
      </c>
      <c r="B18" s="188">
        <f t="shared" ref="B18:G18" si="1">SUM(B15:B17)</f>
        <v>2039327</v>
      </c>
      <c r="C18" s="188">
        <f>SUM(C15:C17)</f>
        <v>2029550.8</v>
      </c>
      <c r="D18" s="188">
        <f t="shared" si="1"/>
        <v>1965684.7999999998</v>
      </c>
      <c r="E18" s="188">
        <f t="shared" si="1"/>
        <v>1914569.6</v>
      </c>
      <c r="F18" s="203">
        <f t="shared" si="1"/>
        <v>1952860.9</v>
      </c>
      <c r="G18" s="213">
        <f t="shared" si="1"/>
        <v>2050504</v>
      </c>
    </row>
    <row r="19" spans="1:8">
      <c r="A19" s="109"/>
      <c r="B19" s="187"/>
      <c r="C19" s="187"/>
      <c r="D19" s="187"/>
      <c r="E19" s="187"/>
      <c r="F19" s="202"/>
      <c r="G19" s="213"/>
    </row>
    <row r="20" spans="1:8">
      <c r="A20" s="109" t="s">
        <v>344</v>
      </c>
      <c r="B20" s="187">
        <f>ROUND('Appendix Statements'!B49,1)</f>
        <v>2014534</v>
      </c>
      <c r="C20" s="187">
        <f>ROUND(C9*C18,1)</f>
        <v>159928.6</v>
      </c>
      <c r="D20" s="187">
        <f>ROUND(D9*D18,1)</f>
        <v>154896</v>
      </c>
      <c r="E20" s="187">
        <f>ROUND(E9*E18,1)</f>
        <v>150868.1</v>
      </c>
      <c r="F20" s="202">
        <f>ROUND(F9*F18,1)</f>
        <v>153885.4</v>
      </c>
      <c r="G20" s="213">
        <f>ROUND(G9*G18,1)</f>
        <v>161579.70000000001</v>
      </c>
    </row>
    <row r="21" spans="1:8">
      <c r="A21" s="109" t="s">
        <v>345</v>
      </c>
      <c r="B21" s="187">
        <f>ROUND('Appendix Statements'!B53,1)</f>
        <v>24793</v>
      </c>
      <c r="C21" s="187">
        <f>ROUND((1-C9)*C18,1)</f>
        <v>1869622.2</v>
      </c>
      <c r="D21" s="187">
        <f>ROUND((1-D9)*D18,1)</f>
        <v>1810788.8</v>
      </c>
      <c r="E21" s="187">
        <f>ROUND((1-E9)*E18,1)</f>
        <v>1763701.5</v>
      </c>
      <c r="F21" s="202">
        <f>ROUND((1-F9)*F18,1)</f>
        <v>1798975.5</v>
      </c>
      <c r="G21" s="213">
        <f>ROUND((1-G9)*G18,1)</f>
        <v>1888924.3</v>
      </c>
    </row>
    <row r="22" spans="1:8" s="55" customFormat="1">
      <c r="A22" s="112" t="s">
        <v>346</v>
      </c>
      <c r="B22" s="188">
        <f>SUM(B20:B21)</f>
        <v>2039327</v>
      </c>
      <c r="C22" s="188">
        <f t="shared" ref="C22:G22" si="2">C20+C21</f>
        <v>2029550.8</v>
      </c>
      <c r="D22" s="188">
        <f t="shared" si="2"/>
        <v>1965684.8</v>
      </c>
      <c r="E22" s="188">
        <f t="shared" si="2"/>
        <v>1914569.6</v>
      </c>
      <c r="F22" s="203">
        <f t="shared" si="2"/>
        <v>1952860.9</v>
      </c>
      <c r="G22" s="214">
        <f t="shared" si="2"/>
        <v>2050504</v>
      </c>
    </row>
    <row r="23" spans="1:8">
      <c r="A23" s="109"/>
      <c r="B23" s="187"/>
      <c r="C23" s="187"/>
      <c r="D23" s="187"/>
      <c r="E23" s="187"/>
      <c r="F23" s="202"/>
      <c r="G23" s="213"/>
    </row>
    <row r="24" spans="1:8">
      <c r="A24" s="109" t="s">
        <v>347</v>
      </c>
      <c r="B24" s="187"/>
      <c r="C24" s="187"/>
      <c r="D24" s="187"/>
      <c r="E24" s="187"/>
      <c r="F24" s="202"/>
      <c r="G24" s="213"/>
    </row>
    <row r="25" spans="1:8">
      <c r="A25" s="109" t="s">
        <v>165</v>
      </c>
      <c r="B25" s="187">
        <f>ROUND((1+B2)*'Appendix Statements'!B3,1)</f>
        <v>4037300.3</v>
      </c>
      <c r="C25" s="187">
        <f>ROUND((1+C2)*B25,1)</f>
        <v>4158419.3</v>
      </c>
      <c r="D25" s="187">
        <f>ROUND((1+D2)*C25,1)</f>
        <v>4324756.0999999996</v>
      </c>
      <c r="E25" s="187">
        <f>ROUND((1+E2)*D25,1)</f>
        <v>4411251.2</v>
      </c>
      <c r="F25" s="202">
        <f>ROUND((1+F2)*E25,1)</f>
        <v>4631813.8</v>
      </c>
      <c r="G25" s="213">
        <f>ROUND((1+G2)*F25,1)</f>
        <v>4863404.5</v>
      </c>
    </row>
    <row r="26" spans="1:8">
      <c r="A26" s="109" t="s">
        <v>199</v>
      </c>
      <c r="B26" s="187">
        <f>ROUND(B3*B25,1)</f>
        <v>874171.4</v>
      </c>
      <c r="C26" s="187">
        <f t="shared" ref="C26:G26" si="3">ROUND(C3*C25,1)</f>
        <v>900396.6</v>
      </c>
      <c r="D26" s="187">
        <f t="shared" si="3"/>
        <v>936412.4</v>
      </c>
      <c r="E26" s="187">
        <f t="shared" si="3"/>
        <v>955140.7</v>
      </c>
      <c r="F26" s="202">
        <f t="shared" si="3"/>
        <v>1002897.7</v>
      </c>
      <c r="G26" s="213">
        <f t="shared" si="3"/>
        <v>1053042.6000000001</v>
      </c>
    </row>
    <row r="27" spans="1:8">
      <c r="A27" s="109" t="s">
        <v>208</v>
      </c>
      <c r="B27" s="194">
        <f>ROUND(B7*B17,1)</f>
        <v>13359.1</v>
      </c>
      <c r="C27" s="194">
        <f t="shared" ref="C27:G27" si="4">ROUND(C7*C17,1)</f>
        <v>32298.400000000001</v>
      </c>
      <c r="D27" s="194">
        <f t="shared" si="4"/>
        <v>33267.4</v>
      </c>
      <c r="E27" s="194">
        <f t="shared" si="4"/>
        <v>34598</v>
      </c>
      <c r="F27" s="204">
        <f t="shared" si="4"/>
        <v>35290</v>
      </c>
      <c r="G27" s="213">
        <f t="shared" si="4"/>
        <v>37054.5</v>
      </c>
    </row>
    <row r="28" spans="1:8" s="55" customFormat="1">
      <c r="A28" s="192" t="s">
        <v>348</v>
      </c>
      <c r="B28" s="196">
        <f>SUM(B26:B27)</f>
        <v>887530.5</v>
      </c>
      <c r="C28" s="196">
        <f t="shared" ref="C28:G28" si="5">SUM(C26:C27)</f>
        <v>932695</v>
      </c>
      <c r="D28" s="196">
        <f t="shared" si="5"/>
        <v>969679.8</v>
      </c>
      <c r="E28" s="196">
        <f t="shared" si="5"/>
        <v>989738.7</v>
      </c>
      <c r="F28" s="205">
        <f t="shared" si="5"/>
        <v>1038187.7</v>
      </c>
      <c r="G28" s="215">
        <f t="shared" si="5"/>
        <v>1090097.1000000001</v>
      </c>
      <c r="H28" s="143"/>
    </row>
    <row r="29" spans="1:8">
      <c r="A29" s="193" t="s">
        <v>349</v>
      </c>
      <c r="B29" s="197">
        <f>-ROUND(B8*B20,1)</f>
        <v>-58220</v>
      </c>
      <c r="C29" s="197">
        <f t="shared" ref="C29:G29" si="6">-ROUND(C8*C20,1)</f>
        <v>-4621.8999999999996</v>
      </c>
      <c r="D29" s="197">
        <f t="shared" si="6"/>
        <v>-4476.5</v>
      </c>
      <c r="E29" s="197">
        <f t="shared" si="6"/>
        <v>-4526</v>
      </c>
      <c r="F29" s="206">
        <f t="shared" si="6"/>
        <v>-4616.6000000000004</v>
      </c>
      <c r="G29" s="216">
        <f t="shared" si="6"/>
        <v>-4847.3999999999996</v>
      </c>
      <c r="H29" s="140"/>
    </row>
    <row r="30" spans="1:8" s="55" customFormat="1">
      <c r="A30" s="192" t="s">
        <v>200</v>
      </c>
      <c r="B30" s="196">
        <f>SUM(B28:B29)</f>
        <v>829310.5</v>
      </c>
      <c r="C30" s="196">
        <f t="shared" ref="C30:G30" si="7">SUM(C28:C29)</f>
        <v>928073.1</v>
      </c>
      <c r="D30" s="196">
        <f t="shared" si="7"/>
        <v>965203.3</v>
      </c>
      <c r="E30" s="196">
        <f t="shared" si="7"/>
        <v>985212.7</v>
      </c>
      <c r="F30" s="205">
        <f t="shared" si="7"/>
        <v>1033571.1</v>
      </c>
      <c r="G30" s="215">
        <f t="shared" si="7"/>
        <v>1085249.7000000002</v>
      </c>
      <c r="H30" s="143"/>
    </row>
    <row r="31" spans="1:8">
      <c r="A31" s="109"/>
      <c r="B31" s="195"/>
      <c r="C31" s="195"/>
      <c r="D31" s="195"/>
      <c r="E31" s="195"/>
      <c r="F31" s="207"/>
      <c r="G31" s="212"/>
    </row>
    <row r="32" spans="1:8">
      <c r="A32" s="109" t="s">
        <v>350</v>
      </c>
      <c r="B32" s="189">
        <f>B26/SUM(B15:B16)</f>
        <v>0.46688745294253936</v>
      </c>
      <c r="C32" s="154">
        <f>C26/SUM(C15:C16)</f>
        <v>0.55381048145035416</v>
      </c>
      <c r="D32" s="154">
        <f t="shared" ref="D32:F32" si="8">D26/SUM(D15:D16)</f>
        <v>0.60419827067633758</v>
      </c>
      <c r="E32" s="154">
        <f t="shared" si="8"/>
        <v>0.64445352319083671</v>
      </c>
      <c r="F32" s="208">
        <f t="shared" si="8"/>
        <v>0.66340805053369767</v>
      </c>
      <c r="G32" s="217"/>
    </row>
    <row r="33" spans="1:7">
      <c r="A33" s="109" t="s">
        <v>351</v>
      </c>
      <c r="B33" s="189">
        <f>B28/B22</f>
        <v>0.43520754641114445</v>
      </c>
      <c r="C33" s="154">
        <f>C28/C22</f>
        <v>0.4595573562386317</v>
      </c>
      <c r="D33" s="154">
        <f t="shared" ref="D33:F33" si="9">D28/D22</f>
        <v>0.49330380944086255</v>
      </c>
      <c r="E33" s="154">
        <f t="shared" si="9"/>
        <v>0.51695101604036742</v>
      </c>
      <c r="F33" s="208">
        <f t="shared" si="9"/>
        <v>0.53162398817038126</v>
      </c>
      <c r="G33" s="217"/>
    </row>
    <row r="34" spans="1:7">
      <c r="A34" s="109" t="s">
        <v>352</v>
      </c>
      <c r="B34" s="189">
        <f>B30/B21</f>
        <v>33.449380873633686</v>
      </c>
      <c r="C34" s="154">
        <f>C30/C21</f>
        <v>0.49639606333300923</v>
      </c>
      <c r="D34" s="154">
        <f t="shared" ref="D34:F34" si="10">D30/D21</f>
        <v>0.53302919699967222</v>
      </c>
      <c r="E34" s="154">
        <f t="shared" si="10"/>
        <v>0.55860512677457042</v>
      </c>
      <c r="F34" s="208">
        <f t="shared" si="10"/>
        <v>0.57453317179694774</v>
      </c>
      <c r="G34" s="217"/>
    </row>
    <row r="35" spans="1:7">
      <c r="A35" s="109" t="s">
        <v>353</v>
      </c>
      <c r="B35" s="198">
        <f>(SUM(C15:C16)/SUM(B15:B16))-1</f>
        <v>-0.13166304428055908</v>
      </c>
      <c r="C35" s="198">
        <f t="shared" ref="C35:F35" si="11">(SUM(D15:D16)/SUM(C15:C16))-1</f>
        <v>-4.6732026063389109E-2</v>
      </c>
      <c r="D35" s="198">
        <f t="shared" si="11"/>
        <v>-4.3713398306370221E-2</v>
      </c>
      <c r="E35" s="198">
        <f t="shared" si="11"/>
        <v>1.9999946022317028E-2</v>
      </c>
      <c r="F35" s="209">
        <f t="shared" si="11"/>
        <v>5.000000661491244E-2</v>
      </c>
      <c r="G35" s="218"/>
    </row>
    <row r="36" spans="1:7">
      <c r="A36" s="109" t="s">
        <v>354</v>
      </c>
      <c r="B36" s="154">
        <f>(C22/B22)-1</f>
        <v>-4.7938363979881382E-3</v>
      </c>
      <c r="C36" s="154">
        <f>(D22/C22)-1</f>
        <v>-3.1468047018088918E-2</v>
      </c>
      <c r="D36" s="154">
        <f t="shared" ref="D36:F36" si="12">(E22/D22)-1</f>
        <v>-2.6003762149455434E-2</v>
      </c>
      <c r="E36" s="154">
        <f t="shared" si="12"/>
        <v>1.9999951947424544E-2</v>
      </c>
      <c r="F36" s="208">
        <f t="shared" si="12"/>
        <v>5.0000028163808441E-2</v>
      </c>
      <c r="G36" s="212"/>
    </row>
    <row r="37" spans="1:7">
      <c r="A37" s="109" t="s">
        <v>355</v>
      </c>
      <c r="B37" s="154">
        <f>C21/B21-1</f>
        <v>74.409276812003384</v>
      </c>
      <c r="C37" s="154">
        <f t="shared" ref="C37:F37" si="13">D21/C21-1</f>
        <v>-3.1468068789512582E-2</v>
      </c>
      <c r="D37" s="154">
        <f t="shared" si="13"/>
        <v>-2.6003750409766213E-2</v>
      </c>
      <c r="E37" s="154">
        <f t="shared" si="13"/>
        <v>1.9999982990319021E-2</v>
      </c>
      <c r="F37" s="208">
        <f t="shared" si="13"/>
        <v>5.0000013896798423E-2</v>
      </c>
      <c r="G37" s="212"/>
    </row>
    <row r="38" spans="1:7">
      <c r="A38" s="109"/>
      <c r="B38" s="109"/>
      <c r="C38" s="109"/>
      <c r="D38" s="109"/>
      <c r="E38" s="109"/>
      <c r="F38" s="193"/>
      <c r="G38" s="212"/>
    </row>
    <row r="39" spans="1:7">
      <c r="A39" s="109" t="s">
        <v>200</v>
      </c>
      <c r="B39" s="187">
        <f>B30</f>
        <v>829310.5</v>
      </c>
      <c r="C39" s="187">
        <f t="shared" ref="C39:F39" si="14">C30</f>
        <v>928073.1</v>
      </c>
      <c r="D39" s="187">
        <f t="shared" si="14"/>
        <v>965203.3</v>
      </c>
      <c r="E39" s="187">
        <f t="shared" si="14"/>
        <v>985212.7</v>
      </c>
      <c r="F39" s="202">
        <f t="shared" si="14"/>
        <v>1033571.1</v>
      </c>
      <c r="G39" s="212"/>
    </row>
    <row r="40" spans="1:7">
      <c r="A40" s="109" t="s">
        <v>356</v>
      </c>
      <c r="B40" s="187">
        <f>-ROUND(C15-B15,1)</f>
        <v>97194.9</v>
      </c>
      <c r="C40" s="187">
        <f t="shared" ref="C40:F41" si="15">-ROUND(D15-C15,1)</f>
        <v>-12439</v>
      </c>
      <c r="D40" s="187">
        <f t="shared" si="15"/>
        <v>-17082.8</v>
      </c>
      <c r="E40" s="187">
        <f t="shared" si="15"/>
        <v>-8883</v>
      </c>
      <c r="F40" s="202">
        <f t="shared" si="15"/>
        <v>-22651.8</v>
      </c>
      <c r="G40" s="212"/>
    </row>
    <row r="41" spans="1:7">
      <c r="A41" s="109" t="s">
        <v>357</v>
      </c>
      <c r="B41" s="187">
        <f>-ROUND(C16-B16,1)</f>
        <v>149322.9</v>
      </c>
      <c r="C41" s="187">
        <f t="shared" si="15"/>
        <v>88416.9</v>
      </c>
      <c r="D41" s="187">
        <f t="shared" si="15"/>
        <v>84831.7</v>
      </c>
      <c r="E41" s="187">
        <f t="shared" si="15"/>
        <v>-20758.8</v>
      </c>
      <c r="F41" s="202">
        <f t="shared" si="15"/>
        <v>-52935</v>
      </c>
      <c r="G41" s="212"/>
    </row>
    <row r="42" spans="1:7">
      <c r="A42" s="109" t="s">
        <v>358</v>
      </c>
      <c r="B42" s="187">
        <f>ROUND(C17-B17,1)</f>
        <v>236741.6</v>
      </c>
      <c r="C42" s="187">
        <f t="shared" ref="C42:F42" si="16">ROUND(D17-C17,1)</f>
        <v>12111.9</v>
      </c>
      <c r="D42" s="187">
        <f t="shared" si="16"/>
        <v>16633.7</v>
      </c>
      <c r="E42" s="187">
        <f t="shared" si="16"/>
        <v>8649.5</v>
      </c>
      <c r="F42" s="187">
        <f t="shared" si="16"/>
        <v>22056.3</v>
      </c>
      <c r="G42" s="212"/>
    </row>
    <row r="43" spans="1:7">
      <c r="A43" s="109" t="s">
        <v>359</v>
      </c>
      <c r="B43" s="187">
        <f>-ROUND(C20-B20,1)</f>
        <v>1854605.4</v>
      </c>
      <c r="C43" s="187">
        <f t="shared" ref="C43:F43" si="17">-ROUND(D20-C20,1)</f>
        <v>5032.6000000000004</v>
      </c>
      <c r="D43" s="187">
        <f t="shared" si="17"/>
        <v>4027.9</v>
      </c>
      <c r="E43" s="187">
        <f t="shared" si="17"/>
        <v>-3017.3</v>
      </c>
      <c r="F43" s="187">
        <f t="shared" si="17"/>
        <v>-7694.3</v>
      </c>
      <c r="G43" s="212"/>
    </row>
    <row r="44" spans="1:7" s="55" customFormat="1">
      <c r="A44" s="112" t="s">
        <v>360</v>
      </c>
      <c r="B44" s="188">
        <f>SUM(B39:B43)</f>
        <v>3167175.3</v>
      </c>
      <c r="C44" s="188">
        <f t="shared" ref="C44:F44" si="18">SUM(C39:C43)</f>
        <v>1021195.5</v>
      </c>
      <c r="D44" s="188">
        <f t="shared" si="18"/>
        <v>1053613.7999999998</v>
      </c>
      <c r="E44" s="188">
        <f t="shared" si="18"/>
        <v>961203.09999999986</v>
      </c>
      <c r="F44" s="203">
        <f t="shared" si="18"/>
        <v>972346.29999999993</v>
      </c>
      <c r="G44" s="219"/>
    </row>
    <row r="45" spans="1:7">
      <c r="A45" s="109"/>
      <c r="B45" s="187"/>
      <c r="C45" s="187"/>
      <c r="D45" s="187"/>
      <c r="E45" s="187"/>
      <c r="F45" s="202"/>
      <c r="G45" s="212"/>
    </row>
    <row r="46" spans="1:7">
      <c r="A46" s="109" t="s">
        <v>199</v>
      </c>
      <c r="B46" s="187">
        <f>B26</f>
        <v>874171.4</v>
      </c>
      <c r="C46" s="187">
        <f t="shared" ref="C46:F46" si="19">C26</f>
        <v>900396.6</v>
      </c>
      <c r="D46" s="187">
        <f t="shared" si="19"/>
        <v>936412.4</v>
      </c>
      <c r="E46" s="187">
        <f t="shared" si="19"/>
        <v>955140.7</v>
      </c>
      <c r="F46" s="202">
        <f t="shared" si="19"/>
        <v>1002897.7</v>
      </c>
      <c r="G46" s="212"/>
    </row>
    <row r="47" spans="1:7">
      <c r="A47" s="109" t="s">
        <v>356</v>
      </c>
      <c r="B47" s="187">
        <f>B40</f>
        <v>97194.9</v>
      </c>
      <c r="C47" s="187">
        <f t="shared" ref="C47:F48" si="20">C40</f>
        <v>-12439</v>
      </c>
      <c r="D47" s="187">
        <f t="shared" si="20"/>
        <v>-17082.8</v>
      </c>
      <c r="E47" s="187">
        <f t="shared" si="20"/>
        <v>-8883</v>
      </c>
      <c r="F47" s="202">
        <f t="shared" si="20"/>
        <v>-22651.8</v>
      </c>
      <c r="G47" s="212"/>
    </row>
    <row r="48" spans="1:7">
      <c r="A48" s="109" t="s">
        <v>357</v>
      </c>
      <c r="B48" s="187">
        <f>B41</f>
        <v>149322.9</v>
      </c>
      <c r="C48" s="187">
        <f t="shared" si="20"/>
        <v>88416.9</v>
      </c>
      <c r="D48" s="187">
        <f t="shared" si="20"/>
        <v>84831.7</v>
      </c>
      <c r="E48" s="187">
        <f t="shared" si="20"/>
        <v>-20758.8</v>
      </c>
      <c r="F48" s="202">
        <f t="shared" si="20"/>
        <v>-52935</v>
      </c>
      <c r="G48" s="212"/>
    </row>
    <row r="49" spans="1:7" s="55" customFormat="1">
      <c r="A49" s="112" t="s">
        <v>361</v>
      </c>
      <c r="B49" s="188">
        <f>SUM(B46:B48)</f>
        <v>1120689.2</v>
      </c>
      <c r="C49" s="188">
        <f t="shared" ref="C49:F49" si="21">SUM(C46:C48)</f>
        <v>976374.5</v>
      </c>
      <c r="D49" s="188">
        <f t="shared" si="21"/>
        <v>1004161.2999999999</v>
      </c>
      <c r="E49" s="188">
        <f t="shared" si="21"/>
        <v>925498.89999999991</v>
      </c>
      <c r="F49" s="203">
        <f t="shared" si="21"/>
        <v>927310.89999999991</v>
      </c>
      <c r="G49" s="219"/>
    </row>
    <row r="51" spans="1:7" ht="31.5">
      <c r="A51" s="191" t="s">
        <v>371</v>
      </c>
      <c r="B51" s="157" t="s">
        <v>365</v>
      </c>
      <c r="C51" s="157" t="s">
        <v>366</v>
      </c>
      <c r="D51" s="157" t="s">
        <v>367</v>
      </c>
      <c r="E51" s="157" t="s">
        <v>368</v>
      </c>
      <c r="F51" s="199" t="s">
        <v>369</v>
      </c>
      <c r="G51" s="190"/>
    </row>
    <row r="52" spans="1:7">
      <c r="A52" s="109"/>
      <c r="B52" s="109"/>
      <c r="C52" s="109"/>
      <c r="D52" s="109"/>
      <c r="E52" s="109"/>
      <c r="F52" s="193"/>
      <c r="G52" s="212"/>
    </row>
    <row r="53" spans="1:7">
      <c r="A53" s="109" t="s">
        <v>362</v>
      </c>
      <c r="B53" s="187">
        <f>B28</f>
        <v>887530.5</v>
      </c>
      <c r="C53" s="187">
        <f t="shared" ref="C53:F53" si="22">C28</f>
        <v>932695</v>
      </c>
      <c r="D53" s="187">
        <f t="shared" si="22"/>
        <v>969679.8</v>
      </c>
      <c r="E53" s="187">
        <f t="shared" si="22"/>
        <v>989738.7</v>
      </c>
      <c r="F53" s="202">
        <f t="shared" si="22"/>
        <v>1038187.7</v>
      </c>
      <c r="G53" s="212"/>
    </row>
    <row r="54" spans="1:7">
      <c r="A54" s="109" t="s">
        <v>370</v>
      </c>
      <c r="B54" s="187">
        <f>C22-B22</f>
        <v>-9776.1999999999534</v>
      </c>
      <c r="C54" s="187">
        <f t="shared" ref="C54:F54" si="23">D22-C22</f>
        <v>-63866</v>
      </c>
      <c r="D54" s="187">
        <f t="shared" si="23"/>
        <v>-51115.199999999953</v>
      </c>
      <c r="E54" s="187">
        <f t="shared" si="23"/>
        <v>38291.299999999814</v>
      </c>
      <c r="F54" s="202">
        <f t="shared" si="23"/>
        <v>97643.100000000093</v>
      </c>
      <c r="G54" s="212"/>
    </row>
    <row r="55" spans="1:7" s="55" customFormat="1">
      <c r="A55" s="112" t="s">
        <v>363</v>
      </c>
      <c r="B55" s="188">
        <f>B53-B54</f>
        <v>897306.7</v>
      </c>
      <c r="C55" s="188">
        <f t="shared" ref="C55:F55" si="24">C53-C54</f>
        <v>996561</v>
      </c>
      <c r="D55" s="188">
        <f t="shared" si="24"/>
        <v>1020795</v>
      </c>
      <c r="E55" s="188">
        <f t="shared" si="24"/>
        <v>951447.40000000014</v>
      </c>
      <c r="F55" s="203">
        <f t="shared" si="24"/>
        <v>940544.59999999986</v>
      </c>
      <c r="G55" s="219"/>
    </row>
    <row r="59" spans="1:7">
      <c r="A59" s="124"/>
    </row>
  </sheetData>
  <pageMargins left="0.7" right="0.7" top="0.75" bottom="0.75" header="0.3" footer="0.3"/>
  <ignoredErrors>
    <ignoredError sqref="B29:G2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A7877-C13D-40A5-BB8A-4150774CF926}">
  <dimension ref="A1:X83"/>
  <sheetViews>
    <sheetView topLeftCell="A10" workbookViewId="0">
      <selection activeCell="B22" sqref="B22"/>
    </sheetView>
  </sheetViews>
  <sheetFormatPr defaultRowHeight="14.25"/>
  <cols>
    <col min="1" max="1" width="57.85546875" style="372" customWidth="1"/>
    <col min="2" max="2" width="14.85546875" style="372" bestFit="1" customWidth="1"/>
    <col min="3" max="3" width="11.85546875" style="372" bestFit="1" customWidth="1"/>
    <col min="4" max="4" width="18.85546875" style="372" bestFit="1" customWidth="1"/>
    <col min="5" max="6" width="11.85546875" style="372" bestFit="1" customWidth="1"/>
    <col min="7" max="8" width="11.85546875" style="372" customWidth="1"/>
    <col min="9" max="9" width="7.7109375" style="372" customWidth="1"/>
    <col min="10" max="10" width="3.7109375" style="372" bestFit="1" customWidth="1"/>
    <col min="11" max="11" width="7.85546875" style="372" bestFit="1" customWidth="1"/>
    <col min="12" max="12" width="10" style="372" customWidth="1"/>
    <col min="13" max="13" width="10.28515625" style="372" customWidth="1"/>
    <col min="14" max="15" width="9.28515625" style="372" bestFit="1" customWidth="1"/>
    <col min="16" max="16" width="8.5703125" style="372" customWidth="1"/>
    <col min="17" max="20" width="9.140625" style="372"/>
    <col min="21" max="21" width="27.7109375" style="372" bestFit="1" customWidth="1"/>
    <col min="22" max="24" width="9.28515625" style="372" bestFit="1" customWidth="1"/>
    <col min="25" max="16384" width="9.140625" style="372"/>
  </cols>
  <sheetData>
    <row r="1" spans="1:24" ht="15">
      <c r="A1" s="408" t="s">
        <v>469</v>
      </c>
      <c r="B1" s="408" t="s">
        <v>365</v>
      </c>
      <c r="C1" s="409" t="s">
        <v>366</v>
      </c>
      <c r="D1" s="408" t="s">
        <v>367</v>
      </c>
      <c r="E1" s="408" t="s">
        <v>368</v>
      </c>
      <c r="F1" s="410" t="s">
        <v>369</v>
      </c>
      <c r="G1" s="411"/>
      <c r="K1" s="373" t="s">
        <v>379</v>
      </c>
      <c r="M1" s="388"/>
      <c r="O1" s="374"/>
      <c r="U1" s="412" t="s">
        <v>377</v>
      </c>
      <c r="V1" s="412" t="s">
        <v>13</v>
      </c>
      <c r="W1" s="412" t="s">
        <v>14</v>
      </c>
      <c r="X1" s="412" t="s">
        <v>15</v>
      </c>
    </row>
    <row r="2" spans="1:24" ht="15">
      <c r="A2" s="375" t="s">
        <v>380</v>
      </c>
      <c r="B2" s="376">
        <f>(B3*B4)+B5</f>
        <v>9.9699999999999997E-2</v>
      </c>
      <c r="C2" s="413">
        <v>9.9500000000000005E-2</v>
      </c>
      <c r="D2" s="377">
        <v>9.5000000000000001E-2</v>
      </c>
      <c r="E2" s="377">
        <v>9.5000000000000001E-2</v>
      </c>
      <c r="F2" s="377">
        <v>9.5000000000000001E-2</v>
      </c>
      <c r="G2" s="377"/>
      <c r="K2" s="422"/>
      <c r="L2" s="422"/>
      <c r="M2" s="422"/>
      <c r="N2" s="422"/>
      <c r="O2" s="423"/>
      <c r="P2" s="423"/>
      <c r="Q2" s="423"/>
      <c r="R2" s="423"/>
      <c r="U2" s="378" t="s">
        <v>376</v>
      </c>
      <c r="V2" s="381">
        <v>0.19499881801899985</v>
      </c>
      <c r="W2" s="381">
        <v>0.18999727184917012</v>
      </c>
      <c r="X2" s="381">
        <v>0.18502847022955524</v>
      </c>
    </row>
    <row r="3" spans="1:24">
      <c r="A3" s="378" t="s">
        <v>381</v>
      </c>
      <c r="B3" s="379">
        <v>0.05</v>
      </c>
      <c r="C3" s="388"/>
      <c r="H3" s="445" t="s">
        <v>381</v>
      </c>
      <c r="I3" s="445"/>
      <c r="J3" s="445"/>
      <c r="K3" s="424" t="s">
        <v>434</v>
      </c>
      <c r="L3" s="422"/>
      <c r="M3" s="422"/>
      <c r="N3" s="422"/>
      <c r="O3" s="422"/>
      <c r="P3" s="425"/>
      <c r="Q3" s="425"/>
      <c r="R3" s="425"/>
      <c r="U3" s="386" t="s">
        <v>390</v>
      </c>
      <c r="V3" s="387">
        <v>1.4979405250551556E-2</v>
      </c>
      <c r="W3" s="387">
        <v>1.2425761948876969E-2</v>
      </c>
      <c r="X3" s="387">
        <v>1.3420267332350582E-2</v>
      </c>
    </row>
    <row r="4" spans="1:24">
      <c r="A4" s="378" t="s">
        <v>382</v>
      </c>
      <c r="B4" s="380">
        <v>1.1499999999999999</v>
      </c>
      <c r="C4" s="388"/>
      <c r="H4" s="445" t="s">
        <v>382</v>
      </c>
      <c r="I4" s="445"/>
      <c r="J4" s="445"/>
      <c r="K4" s="424" t="s">
        <v>454</v>
      </c>
      <c r="L4" s="422"/>
      <c r="M4" s="422"/>
      <c r="N4" s="422"/>
      <c r="O4" s="426"/>
      <c r="P4" s="427"/>
      <c r="Q4" s="427"/>
      <c r="R4" s="427"/>
    </row>
    <row r="5" spans="1:24">
      <c r="A5" s="378" t="s">
        <v>383</v>
      </c>
      <c r="B5" s="381">
        <v>4.2200000000000001E-2</v>
      </c>
      <c r="C5" s="413">
        <v>4.2000000000000003E-2</v>
      </c>
      <c r="D5" s="377">
        <v>3.5000000000000003E-2</v>
      </c>
      <c r="E5" s="382">
        <v>0.03</v>
      </c>
      <c r="F5" s="382">
        <v>0.03</v>
      </c>
      <c r="G5" s="382"/>
      <c r="H5" s="445" t="s">
        <v>383</v>
      </c>
      <c r="I5" s="445"/>
      <c r="J5" s="445"/>
      <c r="K5" s="424" t="s">
        <v>433</v>
      </c>
      <c r="L5" s="422"/>
      <c r="M5" s="422"/>
      <c r="N5" s="422"/>
      <c r="O5" s="428"/>
      <c r="P5" s="422"/>
      <c r="Q5" s="422"/>
      <c r="R5" s="422"/>
    </row>
    <row r="6" spans="1:24">
      <c r="A6" s="378"/>
      <c r="B6" s="407"/>
      <c r="C6" s="388"/>
      <c r="H6" s="448"/>
      <c r="I6" s="449"/>
      <c r="J6" s="450"/>
      <c r="K6" s="388"/>
      <c r="M6" s="388"/>
      <c r="O6" s="383"/>
    </row>
    <row r="7" spans="1:24" ht="15">
      <c r="A7" s="375" t="s">
        <v>384</v>
      </c>
      <c r="B7" s="384">
        <f>B8*B9</f>
        <v>1.1022755915062384E-2</v>
      </c>
      <c r="C7" s="388"/>
      <c r="H7" s="446" t="s">
        <v>384</v>
      </c>
      <c r="I7" s="446"/>
      <c r="J7" s="446"/>
      <c r="K7" s="388"/>
      <c r="M7" s="388"/>
      <c r="O7" s="383"/>
    </row>
    <row r="8" spans="1:24">
      <c r="A8" s="385" t="s">
        <v>385</v>
      </c>
      <c r="B8" s="381">
        <f>AVERAGE(V3:X3)</f>
        <v>1.3608478177259702E-2</v>
      </c>
      <c r="C8" s="388"/>
      <c r="H8" s="447" t="s">
        <v>385</v>
      </c>
      <c r="I8" s="447"/>
      <c r="J8" s="447"/>
      <c r="K8" s="388" t="s">
        <v>391</v>
      </c>
      <c r="M8" s="388"/>
      <c r="O8" s="383"/>
    </row>
    <row r="9" spans="1:24">
      <c r="A9" s="378" t="s">
        <v>386</v>
      </c>
      <c r="B9" s="379">
        <f>1-AVERAGE(V2:X2)</f>
        <v>0.80999181330075831</v>
      </c>
      <c r="C9" s="388"/>
      <c r="D9" s="388"/>
      <c r="E9" s="388"/>
      <c r="H9" s="383"/>
    </row>
    <row r="10" spans="1:24">
      <c r="A10" s="378"/>
      <c r="B10" s="407"/>
      <c r="C10" s="388"/>
      <c r="D10" s="388"/>
      <c r="E10" s="388"/>
      <c r="H10" s="383"/>
    </row>
    <row r="11" spans="1:24" ht="15">
      <c r="A11" s="375" t="s">
        <v>387</v>
      </c>
      <c r="B11" s="376">
        <f>B2*B12+B7*B13</f>
        <v>5.551932162565331E-2</v>
      </c>
      <c r="C11" s="388"/>
      <c r="D11" s="388"/>
      <c r="E11" s="388"/>
      <c r="H11" s="383"/>
    </row>
    <row r="12" spans="1:24">
      <c r="A12" s="378" t="s">
        <v>388</v>
      </c>
      <c r="B12" s="381">
        <f>'[2]Balance Sheet Standard'!C14/('[2]Balance Sheet Standard'!C14+'[2]Balance Sheet Standard'!C29)</f>
        <v>0.5017811070895577</v>
      </c>
      <c r="C12" s="388"/>
      <c r="D12" s="388"/>
      <c r="E12" s="388"/>
      <c r="H12" s="383"/>
    </row>
    <row r="13" spans="1:24">
      <c r="A13" s="378" t="s">
        <v>389</v>
      </c>
      <c r="B13" s="381">
        <f>'[2]Balance Sheet Standard'!C29/('[2]Balance Sheet Standard'!C14+'[2]Balance Sheet Standard'!C29)</f>
        <v>0.49821889291044236</v>
      </c>
      <c r="C13" s="388"/>
      <c r="D13" s="388"/>
      <c r="E13" s="388"/>
      <c r="H13" s="383"/>
    </row>
    <row r="14" spans="1:24">
      <c r="A14" s="378"/>
      <c r="B14" s="381"/>
      <c r="C14" s="388"/>
      <c r="D14" s="388"/>
      <c r="E14" s="388"/>
      <c r="H14" s="383"/>
    </row>
    <row r="15" spans="1:24">
      <c r="A15" s="378" t="s">
        <v>459</v>
      </c>
      <c r="B15" s="399">
        <v>0.03</v>
      </c>
      <c r="H15" s="383"/>
    </row>
    <row r="16" spans="1:24">
      <c r="A16" s="390" t="s">
        <v>468</v>
      </c>
      <c r="B16" s="400">
        <v>22020</v>
      </c>
      <c r="H16" s="383"/>
    </row>
    <row r="18" spans="1:8" ht="15">
      <c r="A18" s="414" t="s">
        <v>435</v>
      </c>
      <c r="B18" s="397">
        <v>2023</v>
      </c>
      <c r="C18" s="397">
        <v>2024</v>
      </c>
      <c r="D18" s="397">
        <v>2025</v>
      </c>
      <c r="E18" s="397">
        <v>2026</v>
      </c>
      <c r="F18" s="397">
        <v>2027</v>
      </c>
      <c r="G18" s="398"/>
    </row>
    <row r="19" spans="1:8" ht="15">
      <c r="A19" s="414" t="s">
        <v>460</v>
      </c>
      <c r="B19" s="390"/>
      <c r="C19" s="390"/>
      <c r="D19" s="390"/>
      <c r="E19" s="390"/>
      <c r="F19" s="390"/>
    </row>
    <row r="20" spans="1:8">
      <c r="A20" s="415" t="s">
        <v>436</v>
      </c>
      <c r="B20" s="391">
        <f>[2]Forecasts!B30-[2]WACC!B2*[2]Forecasts!B21</f>
        <v>793490.4378999999</v>
      </c>
      <c r="C20" s="391">
        <f>[2]Forecasts!C30-[2]WACC!C2*[2]Forecasts!C21</f>
        <v>707696.99109999998</v>
      </c>
      <c r="D20" s="391">
        <f>[2]Forecasts!D30-[2]WACC!D2*[2]Forecasts!D21</f>
        <v>757455.76400000008</v>
      </c>
      <c r="E20" s="391">
        <f>[2]Forecasts!E30-[2]WACC!E2*[2]Forecasts!E21</f>
        <v>781223.95750000002</v>
      </c>
      <c r="F20" s="391">
        <f>[2]Forecasts!F30-[2]WACC!F2*[2]Forecasts!F21</f>
        <v>824409.52750000008</v>
      </c>
      <c r="G20" s="403"/>
    </row>
    <row r="21" spans="1:8">
      <c r="A21" s="415" t="s">
        <v>437</v>
      </c>
      <c r="B21" s="392">
        <v>0.32</v>
      </c>
      <c r="C21" s="392">
        <f>[2]WACC!C20/[2]Forecasts!C21</f>
        <v>0.37852406282937806</v>
      </c>
      <c r="D21" s="392">
        <f>[2]WACC!D20/[2]Forecasts!D21</f>
        <v>0.41830155123557206</v>
      </c>
      <c r="E21" s="392">
        <f>[2]WACC!E20/[2]Forecasts!E21</f>
        <v>0.44294567844955623</v>
      </c>
      <c r="F21" s="392">
        <f>[2]WACC!F20/[2]Forecasts!F21</f>
        <v>0.45826612285714846</v>
      </c>
      <c r="G21" s="404"/>
    </row>
    <row r="22" spans="1:8" ht="15">
      <c r="A22" s="414" t="s">
        <v>360</v>
      </c>
      <c r="B22" s="393">
        <f>[2]Forecasts!B44</f>
        <v>3133827.0999999996</v>
      </c>
      <c r="C22" s="393">
        <f>[2]Forecasts!C44</f>
        <v>986846.8</v>
      </c>
      <c r="D22" s="393">
        <f>[2]Forecasts!D44</f>
        <v>1017891.2</v>
      </c>
      <c r="E22" s="393">
        <f>[2]Forecasts!E44</f>
        <v>924765.99999999988</v>
      </c>
      <c r="F22" s="393">
        <f>[2]Forecasts!F44</f>
        <v>934087.4</v>
      </c>
      <c r="G22" s="401"/>
    </row>
    <row r="23" spans="1:8">
      <c r="A23" s="415" t="s">
        <v>438</v>
      </c>
      <c r="B23" s="390"/>
      <c r="C23" s="394">
        <f>([2]Forecasts!C30-[2]Forecasts!B30)-[2]WACC!B2*([2]Forecasts!C21-[2]Forecasts!B21)</f>
        <v>-86167.371239999891</v>
      </c>
      <c r="D23" s="394">
        <f>([2]Forecasts!D30-[2]Forecasts!C30)-[2]WACC!C2*([2]Forecasts!D21-[2]Forecasts!C21)</f>
        <v>41610.223300000041</v>
      </c>
      <c r="E23" s="394">
        <f>([2]Forecasts!E30-[2]Forecasts!D30)-[2]WACC!D2*([2]Forecasts!E21-[2]Forecasts!D21)</f>
        <v>23768.19349999991</v>
      </c>
      <c r="F23" s="394">
        <f>([2]Forecasts!F30-[2]Forecasts!E30)-[2]WACC!E2*([2]Forecasts!F21-[2]Forecasts!E21)</f>
        <v>43185.570000000094</v>
      </c>
      <c r="G23" s="405"/>
      <c r="H23" s="389"/>
    </row>
    <row r="24" spans="1:8">
      <c r="A24" s="415"/>
      <c r="B24" s="395"/>
      <c r="C24" s="395"/>
      <c r="D24" s="395"/>
      <c r="E24" s="395"/>
      <c r="F24" s="395"/>
      <c r="G24" s="389"/>
    </row>
    <row r="25" spans="1:8" ht="15">
      <c r="A25" s="414" t="s">
        <v>461</v>
      </c>
      <c r="B25" s="395"/>
      <c r="C25" s="395"/>
      <c r="D25" s="395"/>
      <c r="E25" s="395"/>
      <c r="F25" s="395"/>
      <c r="G25" s="389"/>
    </row>
    <row r="26" spans="1:8">
      <c r="A26" s="415" t="s">
        <v>439</v>
      </c>
      <c r="B26" s="393">
        <f>[2]Forecasts!B26-[2]WACC!$B$11*([2]Forecasts!B15+[2]Forecasts!B16)</f>
        <v>736872.23107447452</v>
      </c>
      <c r="C26" s="393">
        <f>[2]Forecasts!C26-[2]WACC!$B$11*([2]Forecasts!C15+[2]Forecasts!C16)</f>
        <v>775783.43209912302</v>
      </c>
      <c r="D26" s="393">
        <f>[2]Forecasts!D26-[2]WACC!$B$11*([2]Forecasts!D15+[2]Forecasts!D16)</f>
        <v>814643.57356566482</v>
      </c>
      <c r="E26" s="393">
        <f>[2]Forecasts!E26-[2]WACC!$B$11*([2]Forecasts!E15+[2]Forecasts!E16)</f>
        <v>836418.74653454893</v>
      </c>
      <c r="F26" s="393">
        <f>[2]Forecasts!F26-[2]WACC!$B$11*([2]Forecasts!F15+[2]Forecasts!F16)</f>
        <v>880708.25390678574</v>
      </c>
      <c r="G26" s="401"/>
    </row>
    <row r="27" spans="1:8">
      <c r="A27" s="415" t="s">
        <v>440</v>
      </c>
      <c r="B27" s="392">
        <f>B26/([2]Forecasts!B15+[2]Forecasts!B16)</f>
        <v>0.3935571434966274</v>
      </c>
      <c r="C27" s="392">
        <f>C26/([2]Forecasts!C15+[2]Forecasts!C16)</f>
        <v>0.47716416969147091</v>
      </c>
      <c r="D27" s="392">
        <f>D26/([2]Forecasts!D15+[2]Forecasts!D16)</f>
        <v>0.52562977419560708</v>
      </c>
      <c r="E27" s="392">
        <f>E26/([2]Forecasts!E15+[2]Forecasts!E16)</f>
        <v>0.56434932368294377</v>
      </c>
      <c r="F27" s="392">
        <f>F26/([2]Forecasts!F15+[2]Forecasts!F16)</f>
        <v>0.5825808014249485</v>
      </c>
      <c r="G27" s="404"/>
    </row>
    <row r="28" spans="1:8" ht="15">
      <c r="A28" s="414" t="s">
        <v>361</v>
      </c>
      <c r="B28" s="393">
        <f>[2]Forecasts!B49</f>
        <v>1087341</v>
      </c>
      <c r="C28" s="393">
        <f>[2]Forecasts!C49</f>
        <v>942025.8</v>
      </c>
      <c r="D28" s="393">
        <f>[2]Forecasts!D49</f>
        <v>968438.7</v>
      </c>
      <c r="E28" s="393">
        <f>[2]Forecasts!E49</f>
        <v>889061.79999999993</v>
      </c>
      <c r="F28" s="393">
        <f>[2]Forecasts!F49</f>
        <v>889052</v>
      </c>
      <c r="G28" s="401"/>
    </row>
    <row r="29" spans="1:8">
      <c r="A29" s="415" t="s">
        <v>441</v>
      </c>
      <c r="B29" s="393">
        <f>([2]Forecasts!C26-[2]Forecasts!B26)-$B$11*([2]Forecasts!C15+[2]Forecasts!C16-[2]Forecasts!B15-[2]Forecasts!B16)</f>
        <v>38911.201024648537</v>
      </c>
      <c r="C29" s="393">
        <f>([2]Forecasts!D26-[2]Forecasts!C26)-$B$11*([2]Forecasts!D15+[2]Forecasts!D16-[2]Forecasts!C15-[2]Forecasts!C16)</f>
        <v>38860.141466541754</v>
      </c>
      <c r="D29" s="393">
        <f>([2]Forecasts!E26-[2]Forecasts!D26)-$B$11*([2]Forecasts!E15+[2]Forecasts!E16-[2]Forecasts!D15-[2]Forecasts!D16)</f>
        <v>21775.172968884148</v>
      </c>
      <c r="E29" s="393">
        <f>([2]Forecasts!F26-[2]Forecasts!E26)-$B$11*([2]Forecasts!F15+[2]Forecasts!F16-[2]Forecasts!E15-[2]Forecasts!E16)</f>
        <v>44289.507372236774</v>
      </c>
      <c r="F29" s="393">
        <f>([2]Forecasts!G26-[2]Forecasts!F26)-$B$11*([2]Forecasts!G15+[2]Forecasts!G16-[2]Forecasts!F15-[2]Forecasts!F16)</f>
        <v>44035.37214014597</v>
      </c>
      <c r="G29" s="401"/>
    </row>
    <row r="30" spans="1:8" ht="15">
      <c r="A30" s="414"/>
      <c r="B30" s="395"/>
      <c r="C30" s="395"/>
      <c r="D30" s="395"/>
      <c r="E30" s="395"/>
      <c r="F30" s="395"/>
      <c r="G30" s="389"/>
    </row>
    <row r="31" spans="1:8" ht="15">
      <c r="A31" s="414" t="s">
        <v>442</v>
      </c>
      <c r="B31" s="390"/>
      <c r="C31" s="390"/>
      <c r="D31" s="390"/>
      <c r="E31" s="390"/>
      <c r="F31" s="390"/>
    </row>
    <row r="32" spans="1:8">
      <c r="A32" s="415" t="s">
        <v>443</v>
      </c>
      <c r="B32" s="396">
        <f>1/(1+B2)^(B$18-2022)</f>
        <v>0.90933891061198513</v>
      </c>
      <c r="C32" s="396">
        <f t="shared" ref="C32:F32" si="0">1/(1+C2)^(C$18-2022)</f>
        <v>0.82719810836336582</v>
      </c>
      <c r="D32" s="396">
        <f t="shared" si="0"/>
        <v>0.76165385136458386</v>
      </c>
      <c r="E32" s="396">
        <f t="shared" si="0"/>
        <v>0.6955742934836382</v>
      </c>
      <c r="F32" s="396">
        <f t="shared" si="0"/>
        <v>0.63522766528186136</v>
      </c>
      <c r="G32" s="406"/>
    </row>
    <row r="33" spans="1:16" ht="15">
      <c r="A33" s="415" t="s">
        <v>444</v>
      </c>
      <c r="B33" s="396">
        <f>1/(1+$B$11)^(B$18-2022)</f>
        <v>0.94740094237200179</v>
      </c>
      <c r="C33" s="396">
        <f t="shared" ref="C33:F33" si="1">1/(1+$B$11)^(C$18-2022)</f>
        <v>0.89756854560735699</v>
      </c>
      <c r="D33" s="396">
        <f t="shared" si="1"/>
        <v>0.8503572859518771</v>
      </c>
      <c r="E33" s="396">
        <f t="shared" si="1"/>
        <v>0.80562929406370598</v>
      </c>
      <c r="F33" s="396">
        <f t="shared" si="1"/>
        <v>0.76325395239844562</v>
      </c>
      <c r="G33" s="406"/>
      <c r="M33" s="444"/>
      <c r="N33" s="444"/>
      <c r="O33" s="444"/>
      <c r="P33" s="444"/>
    </row>
    <row r="34" spans="1:16">
      <c r="A34" s="415"/>
      <c r="B34" s="390"/>
      <c r="C34" s="390"/>
      <c r="D34" s="390"/>
      <c r="E34" s="390"/>
      <c r="F34" s="390"/>
    </row>
    <row r="35" spans="1:16" ht="15">
      <c r="A35" s="414" t="s">
        <v>445</v>
      </c>
      <c r="B35" s="390"/>
      <c r="C35" s="390"/>
      <c r="D35" s="390"/>
      <c r="E35" s="390"/>
      <c r="F35" s="390"/>
      <c r="M35" s="444"/>
      <c r="N35" s="444"/>
      <c r="O35" s="444"/>
    </row>
    <row r="36" spans="1:16" ht="15">
      <c r="A36" s="415" t="s">
        <v>443</v>
      </c>
      <c r="B36" s="390">
        <v>1</v>
      </c>
      <c r="C36" s="396">
        <f>[2]Forecasts!C21/[2]Forecasts!$B$21</f>
        <v>75.409276812003384</v>
      </c>
      <c r="D36" s="396">
        <f>[2]Forecasts!D21/[2]Forecasts!$B$21</f>
        <v>73.036292501915867</v>
      </c>
      <c r="E36" s="396">
        <f>[2]Forecasts!E21/[2]Forecasts!$B$21</f>
        <v>71.137074980841362</v>
      </c>
      <c r="F36" s="396">
        <f>[2]Forecasts!F21/[2]Forecasts!$B$21</f>
        <v>72.559815270439231</v>
      </c>
      <c r="G36" s="406"/>
      <c r="L36" s="430"/>
      <c r="M36" s="430"/>
      <c r="N36" s="431"/>
      <c r="O36" s="430"/>
      <c r="P36" s="430"/>
    </row>
    <row r="37" spans="1:16" ht="15" customHeight="1">
      <c r="A37" s="415" t="s">
        <v>444</v>
      </c>
      <c r="B37" s="390">
        <v>1</v>
      </c>
      <c r="C37" s="395">
        <f>SUM([2]Forecasts!C15:C16)/SUM([2]Forecasts!$B$15:$B$16)</f>
        <v>0.86833695571944092</v>
      </c>
      <c r="D37" s="395">
        <f>SUM([2]Forecasts!D15:D16)/SUM([2]Forecasts!$B$15:$B$16)</f>
        <v>0.82775781047295605</v>
      </c>
      <c r="E37" s="395">
        <f>SUM([2]Forecasts!E15:E16)/SUM([2]Forecasts!$B$15:$B$16)</f>
        <v>0.79157370360254276</v>
      </c>
      <c r="F37" s="395">
        <f>SUM([2]Forecasts!F15:F16)/SUM([2]Forecasts!$B$15:$B$16)</f>
        <v>0.80740513494727928</v>
      </c>
      <c r="G37" s="389"/>
      <c r="H37" s="389"/>
      <c r="K37" s="432"/>
      <c r="L37" s="401"/>
      <c r="M37" s="401"/>
      <c r="N37" s="401"/>
      <c r="O37" s="401"/>
      <c r="P37" s="401"/>
    </row>
    <row r="38" spans="1:16" ht="15" customHeight="1">
      <c r="A38" s="416"/>
      <c r="J38" s="443"/>
      <c r="K38" s="432"/>
      <c r="L38" s="401"/>
      <c r="M38" s="401"/>
      <c r="N38" s="401"/>
      <c r="O38" s="401"/>
      <c r="P38" s="401"/>
    </row>
    <row r="39" spans="1:16">
      <c r="A39" s="416"/>
      <c r="J39" s="443"/>
      <c r="K39" s="432"/>
      <c r="L39" s="401"/>
      <c r="M39" s="401"/>
      <c r="N39" s="401"/>
      <c r="O39" s="401"/>
      <c r="P39" s="401"/>
    </row>
    <row r="40" spans="1:16" ht="15.75" thickBot="1">
      <c r="A40" s="417" t="s">
        <v>462</v>
      </c>
      <c r="J40" s="443"/>
      <c r="K40" s="433"/>
      <c r="L40" s="401"/>
      <c r="M40" s="401"/>
      <c r="N40" s="401"/>
      <c r="O40" s="401"/>
      <c r="P40" s="401"/>
    </row>
    <row r="41" spans="1:16" ht="15">
      <c r="A41" s="418" t="s">
        <v>463</v>
      </c>
      <c r="J41" s="443"/>
      <c r="K41" s="432"/>
      <c r="L41" s="401"/>
      <c r="M41" s="401"/>
      <c r="N41" s="401"/>
      <c r="O41" s="401"/>
      <c r="P41" s="401"/>
    </row>
    <row r="42" spans="1:16" ht="15">
      <c r="A42" s="418" t="s">
        <v>464</v>
      </c>
      <c r="J42" s="443"/>
      <c r="K42" s="432"/>
      <c r="L42" s="401"/>
      <c r="M42" s="401"/>
      <c r="N42" s="401"/>
      <c r="O42" s="401"/>
      <c r="P42" s="401"/>
    </row>
    <row r="43" spans="1:16">
      <c r="A43" s="416"/>
      <c r="K43" s="432"/>
      <c r="L43" s="401"/>
      <c r="M43" s="401"/>
      <c r="N43" s="401"/>
      <c r="O43" s="401"/>
      <c r="P43" s="401"/>
    </row>
    <row r="44" spans="1:16" ht="15">
      <c r="A44" s="414" t="s">
        <v>435</v>
      </c>
      <c r="B44" s="390"/>
      <c r="C44" s="390"/>
      <c r="D44" s="390"/>
      <c r="E44" s="390"/>
      <c r="F44" s="390"/>
    </row>
    <row r="45" spans="1:16" ht="15">
      <c r="A45" s="414" t="s">
        <v>465</v>
      </c>
      <c r="B45" s="390"/>
      <c r="C45" s="390"/>
      <c r="D45" s="390"/>
      <c r="E45" s="390"/>
      <c r="F45" s="390"/>
    </row>
    <row r="46" spans="1:16">
      <c r="A46" s="419" t="s">
        <v>360</v>
      </c>
      <c r="B46" s="393">
        <f>B22</f>
        <v>3133827.0999999996</v>
      </c>
      <c r="C46" s="393">
        <f t="shared" ref="C46:F46" si="2">C22</f>
        <v>986846.8</v>
      </c>
      <c r="D46" s="393">
        <f t="shared" si="2"/>
        <v>1017891.2</v>
      </c>
      <c r="E46" s="393">
        <f t="shared" si="2"/>
        <v>924765.99999999988</v>
      </c>
      <c r="F46" s="393">
        <f t="shared" si="2"/>
        <v>934087.4</v>
      </c>
      <c r="G46" s="401"/>
    </row>
    <row r="47" spans="1:16">
      <c r="A47" s="419" t="s">
        <v>446</v>
      </c>
      <c r="B47" s="395">
        <f>B$32</f>
        <v>0.90933891061198513</v>
      </c>
      <c r="C47" s="395">
        <f t="shared" ref="C47:F47" si="3">C$32</f>
        <v>0.82719810836336582</v>
      </c>
      <c r="D47" s="395">
        <f t="shared" si="3"/>
        <v>0.76165385136458386</v>
      </c>
      <c r="E47" s="395">
        <f t="shared" si="3"/>
        <v>0.6955742934836382</v>
      </c>
      <c r="F47" s="395">
        <f t="shared" si="3"/>
        <v>0.63522766528186136</v>
      </c>
      <c r="G47" s="389"/>
    </row>
    <row r="48" spans="1:16">
      <c r="A48" s="419" t="s">
        <v>447</v>
      </c>
      <c r="B48" s="393">
        <f>B46*B47</f>
        <v>2849710.9211603161</v>
      </c>
      <c r="C48" s="393">
        <f t="shared" ref="C48:F48" si="4">C46*C47</f>
        <v>816317.80620444089</v>
      </c>
      <c r="D48" s="393">
        <f t="shared" si="4"/>
        <v>775280.75275011791</v>
      </c>
      <c r="E48" s="393">
        <f t="shared" si="4"/>
        <v>643243.45708769013</v>
      </c>
      <c r="F48" s="393">
        <f t="shared" si="4"/>
        <v>593358.15827120421</v>
      </c>
      <c r="G48" s="401"/>
    </row>
    <row r="49" spans="1:7">
      <c r="A49" s="416"/>
    </row>
    <row r="50" spans="1:7" ht="15">
      <c r="A50" s="429" t="s">
        <v>466</v>
      </c>
      <c r="B50" s="393">
        <f>SUM(B48:F48)</f>
        <v>5677911.0954737701</v>
      </c>
    </row>
    <row r="51" spans="1:7">
      <c r="A51" s="419"/>
      <c r="B51" s="393"/>
    </row>
    <row r="52" spans="1:7">
      <c r="A52" s="419" t="s">
        <v>448</v>
      </c>
      <c r="B52" s="393">
        <f>[2]Forecasts!B21*[2]WACC!B47</f>
        <v>22545.239610802946</v>
      </c>
      <c r="C52" s="389"/>
      <c r="D52" s="389"/>
      <c r="E52" s="389"/>
      <c r="F52" s="389"/>
      <c r="G52" s="389"/>
    </row>
    <row r="53" spans="1:7">
      <c r="A53" s="419" t="s">
        <v>449</v>
      </c>
      <c r="B53" s="393">
        <f>F46/B11*F47</f>
        <v>10687417.29720697</v>
      </c>
      <c r="C53" s="389"/>
      <c r="D53" s="389"/>
      <c r="E53" s="389"/>
      <c r="F53" s="389"/>
      <c r="G53" s="389"/>
    </row>
    <row r="54" spans="1:7">
      <c r="A54" s="419" t="s">
        <v>450</v>
      </c>
      <c r="B54" s="393">
        <f>(F46*(1+$B$15)/($B$11-$B$8))*F47</f>
        <v>14582357.517378125</v>
      </c>
      <c r="C54" s="389"/>
      <c r="D54" s="389"/>
      <c r="E54" s="389"/>
      <c r="F54" s="389"/>
      <c r="G54" s="389"/>
    </row>
    <row r="55" spans="1:7">
      <c r="A55" s="419"/>
      <c r="B55" s="393"/>
      <c r="C55" s="389"/>
      <c r="D55" s="389"/>
      <c r="E55" s="389"/>
      <c r="F55" s="389"/>
      <c r="G55" s="389"/>
    </row>
    <row r="56" spans="1:7">
      <c r="A56" s="419" t="s">
        <v>451</v>
      </c>
      <c r="B56" s="393">
        <f>$B$50+B52</f>
        <v>5700456.3350845734</v>
      </c>
      <c r="C56" s="389"/>
      <c r="D56" s="389"/>
      <c r="E56" s="389"/>
      <c r="F56" s="389"/>
      <c r="G56" s="389"/>
    </row>
    <row r="57" spans="1:7">
      <c r="A57" s="419" t="s">
        <v>452</v>
      </c>
      <c r="B57" s="393">
        <f>$B$50+B53</f>
        <v>16365328.39268074</v>
      </c>
      <c r="C57" s="389"/>
      <c r="D57" s="389"/>
      <c r="E57" s="389"/>
      <c r="F57" s="389"/>
      <c r="G57" s="389"/>
    </row>
    <row r="58" spans="1:7">
      <c r="A58" s="419" t="s">
        <v>453</v>
      </c>
      <c r="B58" s="393">
        <f>$B$50+B54</f>
        <v>20260268.612851895</v>
      </c>
      <c r="C58" s="389"/>
      <c r="D58" s="389"/>
      <c r="E58" s="389"/>
      <c r="F58" s="389"/>
      <c r="G58" s="389"/>
    </row>
    <row r="59" spans="1:7">
      <c r="A59" s="416"/>
      <c r="B59" s="401"/>
    </row>
    <row r="60" spans="1:7">
      <c r="A60" s="419" t="s">
        <v>467</v>
      </c>
      <c r="B60" s="393">
        <f>B58/B16</f>
        <v>920.0848598025384</v>
      </c>
    </row>
    <row r="61" spans="1:7" ht="15">
      <c r="A61" s="419" t="s">
        <v>423</v>
      </c>
      <c r="B61" s="393">
        <v>1319.69</v>
      </c>
      <c r="D61" s="221" t="s">
        <v>394</v>
      </c>
    </row>
    <row r="62" spans="1:7">
      <c r="A62" s="419" t="s">
        <v>455</v>
      </c>
      <c r="B62" s="402">
        <f>B60/B61-1</f>
        <v>-0.30280227947280169</v>
      </c>
      <c r="D62" s="420" t="s">
        <v>395</v>
      </c>
    </row>
    <row r="63" spans="1:7" ht="15">
      <c r="A63" s="418"/>
      <c r="B63" s="398"/>
      <c r="C63" s="398"/>
      <c r="D63" s="398"/>
      <c r="E63" s="398"/>
      <c r="F63" s="398"/>
      <c r="G63" s="398"/>
    </row>
    <row r="64" spans="1:7">
      <c r="A64" s="421"/>
    </row>
    <row r="65" spans="1:1">
      <c r="A65" s="421"/>
    </row>
    <row r="66" spans="1:1">
      <c r="A66" s="421"/>
    </row>
    <row r="67" spans="1:1">
      <c r="A67" s="416"/>
    </row>
    <row r="68" spans="1:1">
      <c r="A68" s="416"/>
    </row>
    <row r="69" spans="1:1">
      <c r="A69" s="416"/>
    </row>
    <row r="70" spans="1:1">
      <c r="A70" s="416"/>
    </row>
    <row r="71" spans="1:1">
      <c r="A71" s="416"/>
    </row>
    <row r="72" spans="1:1">
      <c r="A72" s="416"/>
    </row>
    <row r="73" spans="1:1">
      <c r="A73" s="416"/>
    </row>
    <row r="74" spans="1:1">
      <c r="A74" s="416"/>
    </row>
    <row r="75" spans="1:1">
      <c r="A75" s="416"/>
    </row>
    <row r="76" spans="1:1">
      <c r="A76" s="416"/>
    </row>
    <row r="77" spans="1:1">
      <c r="A77" s="416"/>
    </row>
    <row r="78" spans="1:1">
      <c r="A78" s="416"/>
    </row>
    <row r="79" spans="1:1">
      <c r="A79" s="416"/>
    </row>
    <row r="80" spans="1:1">
      <c r="A80" s="416"/>
    </row>
    <row r="81" spans="1:1">
      <c r="A81" s="416"/>
    </row>
    <row r="82" spans="1:1">
      <c r="A82" s="416"/>
    </row>
    <row r="83" spans="1:1">
      <c r="A83" s="416"/>
    </row>
  </sheetData>
  <mergeCells count="9">
    <mergeCell ref="J38:J42"/>
    <mergeCell ref="M33:P33"/>
    <mergeCell ref="M35:O35"/>
    <mergeCell ref="H3:J3"/>
    <mergeCell ref="H7:J7"/>
    <mergeCell ref="H5:J5"/>
    <mergeCell ref="H4:J4"/>
    <mergeCell ref="H8:J8"/>
    <mergeCell ref="H6:J6"/>
  </mergeCells>
  <hyperlinks>
    <hyperlink ref="K4" r:id="rId1" xr:uid="{442CA8AF-3433-4A7A-A931-B3CD219E9854}"/>
    <hyperlink ref="K5" r:id="rId2" xr:uid="{49439B36-86B4-4080-8F89-615FD73E4A11}"/>
    <hyperlink ref="K3" r:id="rId3" xr:uid="{CE63B02D-0824-4116-AECC-C96370195BC9}"/>
  </hyperlinks>
  <pageMargins left="0.7" right="0.7" top="0.75" bottom="0.75" header="0.3" footer="0.3"/>
  <ignoredErrors>
    <ignoredError sqref="B7 B11 B29:F29" evalErro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2D87-309C-40BC-95EA-0C11DD4259E0}">
  <dimension ref="B2:P30"/>
  <sheetViews>
    <sheetView topLeftCell="C5" zoomScaleNormal="100" workbookViewId="0">
      <selection activeCell="R20" sqref="R20"/>
    </sheetView>
  </sheetViews>
  <sheetFormatPr defaultColWidth="12.28515625" defaultRowHeight="15"/>
  <cols>
    <col min="1" max="1" width="11.5703125" customWidth="1"/>
    <col min="2" max="2" width="49.85546875" bestFit="1" customWidth="1"/>
    <col min="3" max="3" width="13.5703125" bestFit="1" customWidth="1"/>
    <col min="4" max="4" width="11.140625" bestFit="1" customWidth="1"/>
    <col min="5" max="5" width="17.28515625" bestFit="1" customWidth="1"/>
    <col min="6" max="7" width="11.5703125" bestFit="1" customWidth="1"/>
    <col min="8" max="8" width="10.85546875" bestFit="1" customWidth="1"/>
    <col min="9" max="9" width="4.140625" customWidth="1"/>
    <col min="10" max="10" width="13.42578125" bestFit="1" customWidth="1"/>
    <col min="11" max="11" width="9.140625" bestFit="1" customWidth="1"/>
    <col min="13" max="13" width="4.140625" customWidth="1"/>
    <col min="14" max="14" width="13.7109375" bestFit="1" customWidth="1"/>
    <col min="15" max="16" width="12.5703125" bestFit="1" customWidth="1"/>
    <col min="17" max="26" width="11.5703125" customWidth="1"/>
  </cols>
  <sheetData>
    <row r="2" spans="2:16" ht="23.25">
      <c r="B2" s="222" t="s">
        <v>404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</row>
    <row r="4" spans="2:16" ht="15.75">
      <c r="B4" s="224" t="s">
        <v>426</v>
      </c>
      <c r="C4" s="224"/>
      <c r="D4" s="451" t="s">
        <v>397</v>
      </c>
      <c r="E4" s="452"/>
      <c r="F4" s="452"/>
      <c r="G4" s="452"/>
      <c r="H4" s="452"/>
      <c r="I4" s="224"/>
      <c r="J4" s="451" t="s">
        <v>405</v>
      </c>
      <c r="K4" s="452"/>
      <c r="L4" s="452"/>
      <c r="M4" s="224"/>
      <c r="N4" s="451" t="s">
        <v>406</v>
      </c>
      <c r="O4" s="452"/>
      <c r="P4" s="452"/>
    </row>
    <row r="5" spans="2:16" ht="47.25">
      <c r="B5" s="225" t="s">
        <v>399</v>
      </c>
      <c r="C5" s="225" t="s">
        <v>407</v>
      </c>
      <c r="D5" s="226" t="s">
        <v>408</v>
      </c>
      <c r="E5" s="226" t="s">
        <v>409</v>
      </c>
      <c r="F5" s="226" t="s">
        <v>393</v>
      </c>
      <c r="G5" s="226" t="s">
        <v>410</v>
      </c>
      <c r="H5" s="226" t="s">
        <v>411</v>
      </c>
      <c r="I5" s="227"/>
      <c r="J5" s="227" t="s">
        <v>165</v>
      </c>
      <c r="K5" s="227" t="s">
        <v>412</v>
      </c>
      <c r="L5" s="227" t="s">
        <v>187</v>
      </c>
      <c r="M5" s="227"/>
      <c r="N5" s="227" t="s">
        <v>396</v>
      </c>
      <c r="O5" s="227" t="s">
        <v>392</v>
      </c>
      <c r="P5" s="227" t="s">
        <v>413</v>
      </c>
    </row>
    <row r="6" spans="2:16" ht="15.75">
      <c r="B6" s="228"/>
      <c r="C6" s="228"/>
      <c r="D6" s="229"/>
      <c r="E6" s="229"/>
      <c r="F6" s="229"/>
      <c r="G6" s="229"/>
      <c r="H6" s="229"/>
      <c r="I6" s="230"/>
      <c r="J6" s="230"/>
      <c r="K6" s="230"/>
      <c r="L6" s="230"/>
      <c r="M6" s="230"/>
      <c r="N6" s="230"/>
      <c r="O6" s="230"/>
      <c r="P6" s="230"/>
    </row>
    <row r="7" spans="2:16" ht="15.75">
      <c r="B7" s="231" t="s">
        <v>430</v>
      </c>
      <c r="C7" s="232" t="s">
        <v>398</v>
      </c>
      <c r="D7" s="233">
        <v>1361.86</v>
      </c>
      <c r="E7" s="235">
        <v>22</v>
      </c>
      <c r="F7" s="234">
        <f>E7*D7</f>
        <v>29960.92</v>
      </c>
      <c r="G7" s="235">
        <v>2021</v>
      </c>
      <c r="H7" s="234">
        <f>F7+G7</f>
        <v>31981.919999999998</v>
      </c>
      <c r="I7" s="235"/>
      <c r="J7" s="235">
        <v>3920</v>
      </c>
      <c r="K7" s="235">
        <v>1239</v>
      </c>
      <c r="L7" s="265">
        <v>872.5</v>
      </c>
      <c r="M7" s="234"/>
      <c r="N7" s="236">
        <f>H7/J7</f>
        <v>8.1586530612244896</v>
      </c>
      <c r="O7" s="236">
        <f>H7/K7</f>
        <v>25.812687651331718</v>
      </c>
      <c r="P7" s="237">
        <f>F7/L7</f>
        <v>34.33916332378223</v>
      </c>
    </row>
    <row r="8" spans="2:16" ht="15.75">
      <c r="B8" s="2" t="s">
        <v>428</v>
      </c>
      <c r="C8" s="238" t="s">
        <v>400</v>
      </c>
      <c r="D8" s="239">
        <v>288.72000000000003</v>
      </c>
      <c r="E8" s="240">
        <v>59</v>
      </c>
      <c r="F8" s="241">
        <f t="shared" ref="F8:F12" si="0">E8*D8</f>
        <v>17034.480000000003</v>
      </c>
      <c r="G8" s="240">
        <v>1480</v>
      </c>
      <c r="H8" s="241">
        <f t="shared" ref="H8:H12" si="1">F8+G8</f>
        <v>18514.480000000003</v>
      </c>
      <c r="I8" s="240"/>
      <c r="J8" s="240">
        <v>2972</v>
      </c>
      <c r="K8" s="240">
        <v>1017</v>
      </c>
      <c r="L8" s="245">
        <v>707.6</v>
      </c>
      <c r="M8" s="242"/>
      <c r="N8" s="243">
        <f t="shared" ref="N8:N12" si="2">H8/J8</f>
        <v>6.22963660834455</v>
      </c>
      <c r="O8" s="243">
        <f t="shared" ref="O8:O12" si="3">H8/K8</f>
        <v>18.204995083579156</v>
      </c>
      <c r="P8" s="244">
        <f t="shared" ref="P8:P12" si="4">F8/L8</f>
        <v>24.073600904465803</v>
      </c>
    </row>
    <row r="9" spans="2:16" ht="15.75">
      <c r="B9" s="2" t="s">
        <v>458</v>
      </c>
      <c r="C9" s="238" t="s">
        <v>401</v>
      </c>
      <c r="D9" s="239">
        <v>554.6</v>
      </c>
      <c r="E9" s="240">
        <v>83</v>
      </c>
      <c r="F9" s="241">
        <f>E9*D9</f>
        <v>46031.8</v>
      </c>
      <c r="G9" s="240">
        <v>1203</v>
      </c>
      <c r="H9" s="241">
        <f>F9+G9</f>
        <v>47234.8</v>
      </c>
      <c r="I9" s="240"/>
      <c r="J9" s="240">
        <v>3367</v>
      </c>
      <c r="K9" s="240">
        <v>1012</v>
      </c>
      <c r="L9" s="245">
        <v>679.1</v>
      </c>
      <c r="M9" s="242"/>
      <c r="N9" s="243">
        <f t="shared" si="2"/>
        <v>14.02874962874963</v>
      </c>
      <c r="O9" s="243">
        <f t="shared" si="3"/>
        <v>46.674703557312256</v>
      </c>
      <c r="P9" s="244">
        <f t="shared" si="4"/>
        <v>67.783537034310115</v>
      </c>
    </row>
    <row r="10" spans="2:16" ht="15.75">
      <c r="B10" s="2" t="s">
        <v>431</v>
      </c>
      <c r="C10" s="238" t="s">
        <v>402</v>
      </c>
      <c r="D10" s="239">
        <v>255.88</v>
      </c>
      <c r="E10" s="240">
        <v>738</v>
      </c>
      <c r="F10" s="241">
        <f t="shared" si="0"/>
        <v>188839.44</v>
      </c>
      <c r="G10" s="240">
        <v>19832</v>
      </c>
      <c r="H10" s="241">
        <f t="shared" si="1"/>
        <v>208671.44</v>
      </c>
      <c r="I10" s="240"/>
      <c r="J10" s="240">
        <v>31471</v>
      </c>
      <c r="K10" s="240">
        <v>10725</v>
      </c>
      <c r="L10" s="240">
        <v>7209</v>
      </c>
      <c r="M10" s="242"/>
      <c r="N10" s="243">
        <f t="shared" si="2"/>
        <v>6.6305945155857771</v>
      </c>
      <c r="O10" s="243">
        <f t="shared" si="3"/>
        <v>19.456544522144522</v>
      </c>
      <c r="P10" s="244">
        <f t="shared" si="4"/>
        <v>26.194956304619225</v>
      </c>
    </row>
    <row r="11" spans="2:16" ht="15.75">
      <c r="B11" s="2" t="s">
        <v>432</v>
      </c>
      <c r="C11" s="238" t="s">
        <v>403</v>
      </c>
      <c r="D11" s="239">
        <v>562.19000000000005</v>
      </c>
      <c r="E11" s="240">
        <v>386</v>
      </c>
      <c r="F11" s="241">
        <f t="shared" si="0"/>
        <v>217005.34000000003</v>
      </c>
      <c r="G11" s="240">
        <v>35257</v>
      </c>
      <c r="H11" s="241">
        <f t="shared" si="1"/>
        <v>252262.34000000003</v>
      </c>
      <c r="I11" s="240"/>
      <c r="J11" s="240">
        <v>44915</v>
      </c>
      <c r="K11" s="240">
        <v>11760</v>
      </c>
      <c r="L11" s="240">
        <v>6950</v>
      </c>
      <c r="M11" s="242"/>
      <c r="N11" s="243">
        <f t="shared" si="2"/>
        <v>5.6164386062562626</v>
      </c>
      <c r="O11" s="243">
        <f t="shared" si="3"/>
        <v>21.450879251700684</v>
      </c>
      <c r="P11" s="244">
        <f t="shared" si="4"/>
        <v>31.223789928057556</v>
      </c>
    </row>
    <row r="12" spans="2:16" ht="15.75">
      <c r="B12" s="2" t="s">
        <v>429</v>
      </c>
      <c r="C12" s="238" t="s">
        <v>427</v>
      </c>
      <c r="D12" s="239">
        <v>228.26</v>
      </c>
      <c r="E12" s="240">
        <v>186</v>
      </c>
      <c r="F12" s="241">
        <f t="shared" si="0"/>
        <v>42456.36</v>
      </c>
      <c r="G12" s="240">
        <v>13431</v>
      </c>
      <c r="H12" s="241">
        <f t="shared" si="1"/>
        <v>55887.360000000001</v>
      </c>
      <c r="I12" s="240"/>
      <c r="J12" s="240">
        <v>14410</v>
      </c>
      <c r="K12" s="240">
        <v>2897</v>
      </c>
      <c r="L12" s="240">
        <v>1091</v>
      </c>
      <c r="M12" s="242"/>
      <c r="N12" s="243">
        <f t="shared" si="2"/>
        <v>3.8783733518390009</v>
      </c>
      <c r="O12" s="243">
        <f t="shared" si="3"/>
        <v>19.291460131170176</v>
      </c>
      <c r="P12" s="244">
        <f t="shared" si="4"/>
        <v>38.915087076076993</v>
      </c>
    </row>
    <row r="13" spans="2:16" ht="15.75">
      <c r="E13" s="242"/>
    </row>
    <row r="14" spans="2:16" ht="15.75">
      <c r="B14" s="246" t="s">
        <v>414</v>
      </c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7">
        <f>MAX(N8:N12)</f>
        <v>14.02874962874963</v>
      </c>
      <c r="O14" s="247">
        <f>MAX(O8:O12)</f>
        <v>46.674703557312256</v>
      </c>
      <c r="P14" s="247">
        <f t="shared" ref="P14" si="5">MAX(P8:P12)</f>
        <v>67.783537034310115</v>
      </c>
    </row>
    <row r="15" spans="2:16" ht="15.75">
      <c r="B15" s="246" t="s">
        <v>415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7">
        <f>_xlfn.QUARTILE.EXC(N8:N12,3)</f>
        <v>10.329672072167703</v>
      </c>
      <c r="O15" s="247">
        <f t="shared" ref="O15:P15" si="6">_xlfn.QUARTILE.EXC(O8:O12,3)</f>
        <v>34.06279140450647</v>
      </c>
      <c r="P15" s="247">
        <f t="shared" si="6"/>
        <v>53.34931205519355</v>
      </c>
    </row>
    <row r="16" spans="2:16" ht="15.75">
      <c r="B16" s="248" t="s">
        <v>378</v>
      </c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9">
        <f>AVERAGE(N8:N13)</f>
        <v>7.2767585421550436</v>
      </c>
      <c r="O16" s="249">
        <f t="shared" ref="O16:P16" si="7">AVERAGE(O8:O13)</f>
        <v>25.015716509181356</v>
      </c>
      <c r="P16" s="249">
        <f t="shared" si="7"/>
        <v>37.638194249505936</v>
      </c>
    </row>
    <row r="17" spans="2:16" ht="15.75">
      <c r="B17" s="248" t="s">
        <v>416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9">
        <f>MEDIAN(N8:N12)</f>
        <v>6.22963660834455</v>
      </c>
      <c r="O17" s="249">
        <f t="shared" ref="O17:P17" si="8">MEDIAN(O8:O12)</f>
        <v>19.456544522144522</v>
      </c>
      <c r="P17" s="249">
        <f t="shared" si="8"/>
        <v>31.223789928057556</v>
      </c>
    </row>
    <row r="18" spans="2:16" ht="15.75">
      <c r="B18" s="246" t="s">
        <v>417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7">
        <f>QUARTILE(N8:N12,)</f>
        <v>3.8783733518390009</v>
      </c>
      <c r="O18" s="247">
        <f t="shared" ref="O18:P18" si="9">QUARTILE(O8:O12,)</f>
        <v>18.204995083579156</v>
      </c>
      <c r="P18" s="247">
        <f t="shared" si="9"/>
        <v>24.073600904465803</v>
      </c>
    </row>
    <row r="19" spans="2:16" ht="15.75">
      <c r="B19" s="246" t="s">
        <v>418</v>
      </c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7">
        <f>MIN(N8:N12)</f>
        <v>3.8783733518390009</v>
      </c>
      <c r="O19" s="247">
        <f t="shared" ref="O19:P19" si="10">MIN(O8:O12)</f>
        <v>18.204995083579156</v>
      </c>
      <c r="P19" s="247">
        <f t="shared" si="10"/>
        <v>24.073600904465803</v>
      </c>
    </row>
    <row r="21" spans="2:16" ht="15.75">
      <c r="B21" s="224" t="str">
        <f>B7</f>
        <v>Mettler ToledoInternational Inc.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1" t="s">
        <v>396</v>
      </c>
      <c r="O21" s="251" t="s">
        <v>392</v>
      </c>
      <c r="P21" s="251" t="s">
        <v>413</v>
      </c>
    </row>
    <row r="22" spans="2:16" ht="15.75">
      <c r="B22" s="2" t="s">
        <v>419</v>
      </c>
      <c r="J22" s="252"/>
      <c r="N22" s="253">
        <f>N17*J7</f>
        <v>24420.175504710634</v>
      </c>
      <c r="O22" s="253">
        <f>O17*K7</f>
        <v>24106.658662937065</v>
      </c>
      <c r="P22" s="253">
        <f>P23+P24</f>
        <v>29263.756712230217</v>
      </c>
    </row>
    <row r="23" spans="2:16" ht="15.75">
      <c r="B23" s="2" t="s">
        <v>410</v>
      </c>
      <c r="G23" s="240"/>
      <c r="J23" s="252"/>
      <c r="N23" s="253">
        <f>$G$7</f>
        <v>2021</v>
      </c>
      <c r="O23" s="253">
        <f>$G$7</f>
        <v>2021</v>
      </c>
      <c r="P23" s="253">
        <f>$G$7</f>
        <v>2021</v>
      </c>
    </row>
    <row r="24" spans="2:16" ht="15.75">
      <c r="B24" s="2" t="s">
        <v>420</v>
      </c>
      <c r="G24" s="240"/>
      <c r="J24" s="252"/>
      <c r="N24" s="253">
        <f>N22-N23</f>
        <v>22399.175504710634</v>
      </c>
      <c r="O24" s="253">
        <f>O22-O23</f>
        <v>22085.658662937065</v>
      </c>
      <c r="P24" s="253">
        <f>P17*L7</f>
        <v>27242.756712230217</v>
      </c>
    </row>
    <row r="25" spans="2:16" ht="15.75">
      <c r="B25" s="2" t="s">
        <v>409</v>
      </c>
      <c r="G25" s="240"/>
      <c r="N25" s="253">
        <f>$E$7</f>
        <v>22</v>
      </c>
      <c r="O25" s="253">
        <f>$E$7</f>
        <v>22</v>
      </c>
      <c r="P25" s="253">
        <f>$E$7</f>
        <v>22</v>
      </c>
    </row>
    <row r="26" spans="2:16" ht="15.75">
      <c r="B26" s="254" t="s">
        <v>421</v>
      </c>
      <c r="C26" s="254"/>
      <c r="D26" s="255"/>
      <c r="E26" s="255"/>
      <c r="F26" s="254"/>
      <c r="G26" s="256"/>
      <c r="H26" s="254"/>
      <c r="I26" s="254"/>
      <c r="J26" s="254"/>
      <c r="K26" s="254"/>
      <c r="L26" s="254"/>
      <c r="M26" s="254"/>
      <c r="N26" s="257">
        <f>N24/N25</f>
        <v>1018.1443411232107</v>
      </c>
      <c r="O26" s="257">
        <f>O24/O25</f>
        <v>1003.8935755880484</v>
      </c>
      <c r="P26" s="257">
        <f>P24/P25</f>
        <v>1238.3071232831917</v>
      </c>
    </row>
    <row r="27" spans="2:16" ht="16.5" thickBot="1">
      <c r="D27" s="252"/>
      <c r="E27" s="252"/>
      <c r="G27" s="240"/>
      <c r="N27" s="258" t="s">
        <v>422</v>
      </c>
      <c r="O27" s="258"/>
      <c r="P27" s="258"/>
    </row>
    <row r="28" spans="2:16" ht="15.75">
      <c r="B28" s="259" t="s">
        <v>423</v>
      </c>
      <c r="C28" s="260">
        <f>D7</f>
        <v>1361.86</v>
      </c>
      <c r="D28" s="252"/>
      <c r="E28" s="267" t="s">
        <v>394</v>
      </c>
      <c r="F28" s="359" t="s">
        <v>395</v>
      </c>
      <c r="G28" s="240"/>
    </row>
    <row r="29" spans="2:16" ht="15.75">
      <c r="B29" s="261" t="s">
        <v>424</v>
      </c>
      <c r="C29" s="262">
        <f>N26</f>
        <v>1018.1443411232107</v>
      </c>
      <c r="D29" s="252"/>
      <c r="E29" s="252"/>
      <c r="N29" s="263"/>
    </row>
    <row r="30" spans="2:16" ht="16.5" thickBot="1">
      <c r="B30" s="264" t="s">
        <v>425</v>
      </c>
      <c r="C30" s="266">
        <f>(C29-C28)/C28</f>
        <v>-0.2523869258784231</v>
      </c>
      <c r="D30" s="252"/>
      <c r="E30" s="252"/>
    </row>
  </sheetData>
  <mergeCells count="3">
    <mergeCell ref="D4:H4"/>
    <mergeCell ref="J4:L4"/>
    <mergeCell ref="N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83D76-3746-420C-934A-57F8C965E027}">
  <dimension ref="A1:G243"/>
  <sheetViews>
    <sheetView topLeftCell="A29" workbookViewId="0">
      <selection activeCell="B8" sqref="B8"/>
    </sheetView>
  </sheetViews>
  <sheetFormatPr defaultRowHeight="15.75"/>
  <cols>
    <col min="1" max="1" width="31.5703125" style="2" bestFit="1" customWidth="1"/>
    <col min="2" max="2" width="102.85546875" style="2" bestFit="1" customWidth="1"/>
    <col min="3" max="7" width="12.140625" style="2" bestFit="1" customWidth="1"/>
    <col min="8" max="16384" width="9.140625" style="2"/>
  </cols>
  <sheetData>
    <row r="1" spans="1:7" ht="32.450000000000003" customHeight="1">
      <c r="A1" s="94" t="s">
        <v>127</v>
      </c>
      <c r="B1" s="94" t="s">
        <v>373</v>
      </c>
      <c r="C1" s="94" t="s">
        <v>15</v>
      </c>
      <c r="D1" s="94" t="s">
        <v>14</v>
      </c>
      <c r="E1" s="94" t="s">
        <v>13</v>
      </c>
      <c r="F1" s="94" t="s">
        <v>12</v>
      </c>
      <c r="G1" s="94" t="s">
        <v>11</v>
      </c>
    </row>
    <row r="2" spans="1:7">
      <c r="A2" s="107"/>
      <c r="B2" s="106"/>
      <c r="C2" s="105"/>
      <c r="D2" s="105"/>
      <c r="E2" s="105"/>
      <c r="F2" s="105"/>
      <c r="G2" s="105"/>
    </row>
    <row r="3" spans="1:7">
      <c r="A3" s="108"/>
      <c r="B3" s="97" t="s">
        <v>16</v>
      </c>
      <c r="C3" s="58"/>
      <c r="D3" s="58"/>
      <c r="E3" s="58"/>
      <c r="F3" s="58"/>
      <c r="G3" s="58"/>
    </row>
    <row r="4" spans="1:7">
      <c r="A4" s="108" t="s">
        <v>165</v>
      </c>
      <c r="B4" s="98" t="s">
        <v>17</v>
      </c>
      <c r="C4" s="57">
        <v>3118721</v>
      </c>
      <c r="D4" s="57">
        <v>2960615</v>
      </c>
      <c r="E4" s="57">
        <v>2405172</v>
      </c>
      <c r="F4" s="57">
        <v>2346845</v>
      </c>
      <c r="G4" s="57">
        <v>2300075</v>
      </c>
    </row>
    <row r="5" spans="1:7">
      <c r="A5" s="108" t="s">
        <v>165</v>
      </c>
      <c r="B5" s="98" t="s">
        <v>20</v>
      </c>
      <c r="C5" s="57">
        <v>800988</v>
      </c>
      <c r="D5" s="57">
        <v>757315</v>
      </c>
      <c r="E5" s="57">
        <v>680005</v>
      </c>
      <c r="F5" s="57">
        <v>661807</v>
      </c>
      <c r="G5" s="57">
        <v>635511</v>
      </c>
    </row>
    <row r="6" spans="1:7">
      <c r="A6" s="108"/>
      <c r="B6" s="99" t="s">
        <v>18</v>
      </c>
      <c r="C6" s="60">
        <f>SUM(C4:C5)</f>
        <v>3919709</v>
      </c>
      <c r="D6" s="60">
        <f t="shared" ref="D6:G6" si="0">SUM(D4:D5)</f>
        <v>3717930</v>
      </c>
      <c r="E6" s="60">
        <f t="shared" si="0"/>
        <v>3085177</v>
      </c>
      <c r="F6" s="60">
        <f t="shared" si="0"/>
        <v>3008652</v>
      </c>
      <c r="G6" s="60">
        <f t="shared" si="0"/>
        <v>2935586</v>
      </c>
    </row>
    <row r="7" spans="1:7">
      <c r="A7" s="108"/>
      <c r="B7" s="97" t="s">
        <v>19</v>
      </c>
      <c r="C7" s="58"/>
      <c r="D7" s="58"/>
      <c r="E7" s="58"/>
      <c r="F7" s="58"/>
      <c r="G7" s="58"/>
    </row>
    <row r="8" spans="1:7">
      <c r="A8" s="108" t="s">
        <v>166</v>
      </c>
      <c r="B8" s="98" t="s">
        <v>17</v>
      </c>
      <c r="C8" s="57">
        <v>1227230</v>
      </c>
      <c r="D8" s="57">
        <v>1181020</v>
      </c>
      <c r="E8" s="57">
        <v>954697</v>
      </c>
      <c r="F8" s="57">
        <v>929669</v>
      </c>
      <c r="G8" s="57">
        <v>914086</v>
      </c>
    </row>
    <row r="9" spans="1:7">
      <c r="A9" s="108" t="s">
        <v>166</v>
      </c>
      <c r="B9" s="98" t="s">
        <v>20</v>
      </c>
      <c r="C9" s="57">
        <v>384437</v>
      </c>
      <c r="D9" s="57">
        <v>365357</v>
      </c>
      <c r="E9" s="57">
        <v>329449</v>
      </c>
      <c r="F9" s="57">
        <v>337772</v>
      </c>
      <c r="G9" s="57">
        <v>337122</v>
      </c>
    </row>
    <row r="10" spans="1:7">
      <c r="A10" s="108"/>
      <c r="B10" s="99" t="s">
        <v>21</v>
      </c>
      <c r="C10" s="60">
        <f>C6-C8-C9</f>
        <v>2308042</v>
      </c>
      <c r="D10" s="60">
        <f t="shared" ref="D10:G10" si="1">D6-D8-D9</f>
        <v>2171553</v>
      </c>
      <c r="E10" s="60">
        <f t="shared" si="1"/>
        <v>1801031</v>
      </c>
      <c r="F10" s="60">
        <f t="shared" si="1"/>
        <v>1741211</v>
      </c>
      <c r="G10" s="60">
        <f t="shared" si="1"/>
        <v>1684378</v>
      </c>
    </row>
    <row r="11" spans="1:7">
      <c r="A11" s="108" t="s">
        <v>167</v>
      </c>
      <c r="B11" s="98" t="s">
        <v>22</v>
      </c>
      <c r="C11" s="57">
        <v>938461</v>
      </c>
      <c r="D11" s="57">
        <v>943976</v>
      </c>
      <c r="E11" s="57">
        <v>820221</v>
      </c>
      <c r="F11" s="57">
        <v>819183</v>
      </c>
      <c r="G11" s="57">
        <v>812802</v>
      </c>
    </row>
    <row r="12" spans="1:7">
      <c r="A12" s="108" t="s">
        <v>169</v>
      </c>
      <c r="B12" s="98" t="s">
        <v>119</v>
      </c>
      <c r="C12" s="57">
        <v>177122</v>
      </c>
      <c r="D12" s="57">
        <v>169766</v>
      </c>
      <c r="E12" s="57">
        <v>140102</v>
      </c>
      <c r="F12" s="57">
        <v>143950</v>
      </c>
      <c r="G12" s="57">
        <v>141071</v>
      </c>
    </row>
    <row r="13" spans="1:7">
      <c r="A13" s="108" t="s">
        <v>168</v>
      </c>
      <c r="B13" s="98" t="s">
        <v>24</v>
      </c>
      <c r="C13" s="57">
        <v>55392</v>
      </c>
      <c r="D13" s="57">
        <v>43242</v>
      </c>
      <c r="E13" s="57">
        <v>38616</v>
      </c>
      <c r="F13" s="57">
        <v>37411</v>
      </c>
      <c r="G13" s="57">
        <v>34511</v>
      </c>
    </row>
    <row r="14" spans="1:7">
      <c r="A14" s="108" t="s">
        <v>168</v>
      </c>
      <c r="B14" s="100" t="s">
        <v>23</v>
      </c>
      <c r="C14" s="82">
        <v>66239</v>
      </c>
      <c r="D14" s="82">
        <v>63075</v>
      </c>
      <c r="E14" s="82">
        <v>56665</v>
      </c>
      <c r="F14" s="82">
        <v>49690</v>
      </c>
      <c r="G14" s="82">
        <v>47524</v>
      </c>
    </row>
    <row r="15" spans="1:7">
      <c r="A15" s="108" t="s">
        <v>168</v>
      </c>
      <c r="B15" s="98" t="s">
        <v>120</v>
      </c>
      <c r="C15" s="57">
        <v>9556</v>
      </c>
      <c r="D15" s="57">
        <v>5239</v>
      </c>
      <c r="E15" s="57">
        <v>10516</v>
      </c>
      <c r="F15" s="57">
        <v>15760</v>
      </c>
      <c r="G15" s="57">
        <v>18420</v>
      </c>
    </row>
    <row r="16" spans="1:7">
      <c r="A16" s="108" t="s">
        <v>168</v>
      </c>
      <c r="B16" s="101" t="s">
        <v>25</v>
      </c>
      <c r="C16" s="59">
        <v>-9320</v>
      </c>
      <c r="D16" s="59">
        <v>-3106</v>
      </c>
      <c r="E16" s="59">
        <v>-13832</v>
      </c>
      <c r="F16" s="59">
        <v>-6177</v>
      </c>
      <c r="G16" s="59">
        <v>-2808</v>
      </c>
    </row>
    <row r="17" spans="1:7">
      <c r="A17" s="108" t="s">
        <v>129</v>
      </c>
      <c r="B17" s="102" t="s">
        <v>26</v>
      </c>
      <c r="C17" s="84">
        <f>C10-(SUM(C11:C16))</f>
        <v>1070592</v>
      </c>
      <c r="D17" s="84">
        <f>D10-(SUM(D11:D16))</f>
        <v>949361</v>
      </c>
      <c r="E17" s="84">
        <f>E10-(SUM(E11:E16))</f>
        <v>748743</v>
      </c>
      <c r="F17" s="84">
        <f>F10-(SUM(F11:F16))</f>
        <v>681394</v>
      </c>
      <c r="G17" s="84">
        <f>G10-(SUM(G11:G16))</f>
        <v>632858</v>
      </c>
    </row>
    <row r="18" spans="1:7">
      <c r="A18" s="2" t="s">
        <v>130</v>
      </c>
      <c r="B18" s="98" t="s">
        <v>27</v>
      </c>
      <c r="C18" s="57">
        <v>198090</v>
      </c>
      <c r="D18" s="57">
        <v>180376</v>
      </c>
      <c r="E18" s="57">
        <v>146004</v>
      </c>
      <c r="F18" s="57">
        <v>120285</v>
      </c>
      <c r="G18" s="57">
        <v>139247</v>
      </c>
    </row>
    <row r="19" spans="1:7">
      <c r="A19" s="2" t="s">
        <v>456</v>
      </c>
      <c r="B19" s="99" t="s">
        <v>28</v>
      </c>
      <c r="C19" s="60">
        <f>C17-C18</f>
        <v>872502</v>
      </c>
      <c r="D19" s="60">
        <f t="shared" ref="D19:G19" si="2">D17-D18</f>
        <v>768985</v>
      </c>
      <c r="E19" s="60">
        <f t="shared" si="2"/>
        <v>602739</v>
      </c>
      <c r="F19" s="60">
        <f t="shared" si="2"/>
        <v>561109</v>
      </c>
      <c r="G19" s="60">
        <f t="shared" si="2"/>
        <v>493611</v>
      </c>
    </row>
    <row r="20" spans="1:7">
      <c r="A20" s="108"/>
      <c r="B20" s="98"/>
      <c r="C20" s="57"/>
      <c r="D20" s="57"/>
      <c r="E20" s="57"/>
      <c r="F20" s="57"/>
      <c r="G20" s="57"/>
    </row>
    <row r="21" spans="1:7">
      <c r="A21" s="108"/>
      <c r="B21" s="97" t="s">
        <v>29</v>
      </c>
      <c r="C21" s="58"/>
      <c r="D21" s="58"/>
      <c r="E21" s="58"/>
      <c r="F21" s="58"/>
      <c r="G21" s="58"/>
    </row>
    <row r="22" spans="1:7">
      <c r="A22" s="108" t="s">
        <v>128</v>
      </c>
      <c r="B22" s="98" t="s">
        <v>30</v>
      </c>
      <c r="C22" s="46">
        <v>38.79</v>
      </c>
      <c r="D22" s="46">
        <v>33.25</v>
      </c>
      <c r="E22" s="46">
        <v>25.24</v>
      </c>
      <c r="F22" s="46">
        <v>22.84</v>
      </c>
      <c r="G22" s="46">
        <v>30.33</v>
      </c>
    </row>
    <row r="23" spans="1:7">
      <c r="A23" s="108"/>
      <c r="B23" s="98" t="s">
        <v>31</v>
      </c>
      <c r="C23" s="57">
        <v>22491790</v>
      </c>
      <c r="D23" s="57">
        <v>23129862</v>
      </c>
      <c r="E23" s="57">
        <v>23882648</v>
      </c>
      <c r="F23" s="57">
        <v>24567609</v>
      </c>
      <c r="G23" s="57">
        <v>25215674</v>
      </c>
    </row>
    <row r="24" spans="1:7">
      <c r="A24" s="108"/>
      <c r="B24" s="99" t="s">
        <v>32</v>
      </c>
      <c r="C24" s="60"/>
      <c r="D24" s="60"/>
      <c r="E24" s="60"/>
      <c r="F24" s="60"/>
      <c r="G24" s="60"/>
    </row>
    <row r="25" spans="1:7">
      <c r="A25" s="108" t="s">
        <v>131</v>
      </c>
      <c r="B25" s="98" t="s">
        <v>30</v>
      </c>
      <c r="C25" s="46">
        <v>38.409999999999997</v>
      </c>
      <c r="D25" s="46">
        <v>32.78</v>
      </c>
      <c r="E25" s="46">
        <v>24.91</v>
      </c>
      <c r="F25" s="46">
        <v>22.47</v>
      </c>
      <c r="G25" s="46">
        <v>19.88</v>
      </c>
    </row>
    <row r="26" spans="1:7">
      <c r="A26" s="108"/>
      <c r="B26" s="98" t="s">
        <v>31</v>
      </c>
      <c r="C26" s="57">
        <v>22718290</v>
      </c>
      <c r="D26" s="57">
        <v>23457630</v>
      </c>
      <c r="E26" s="57">
        <v>24199230</v>
      </c>
      <c r="F26" s="57">
        <v>24974457</v>
      </c>
      <c r="G26" s="57">
        <v>25781324</v>
      </c>
    </row>
    <row r="27" spans="1:7">
      <c r="B27" s="6"/>
      <c r="C27" s="7"/>
      <c r="D27" s="7"/>
      <c r="E27" s="7"/>
      <c r="F27" s="7"/>
      <c r="G27" s="7"/>
    </row>
    <row r="31" spans="1:7">
      <c r="A31" s="109" t="s">
        <v>165</v>
      </c>
    </row>
    <row r="32" spans="1:7">
      <c r="A32" s="109" t="s">
        <v>166</v>
      </c>
    </row>
    <row r="33" spans="1:1">
      <c r="A33" s="108" t="s">
        <v>167</v>
      </c>
    </row>
    <row r="34" spans="1:1">
      <c r="A34" s="108" t="s">
        <v>168</v>
      </c>
    </row>
    <row r="35" spans="1:1">
      <c r="A35" s="108" t="s">
        <v>169</v>
      </c>
    </row>
    <row r="36" spans="1:1">
      <c r="A36" s="108" t="s">
        <v>129</v>
      </c>
    </row>
    <row r="37" spans="1:1">
      <c r="A37" s="108" t="s">
        <v>130</v>
      </c>
    </row>
    <row r="38" spans="1:1">
      <c r="A38" s="108" t="s">
        <v>456</v>
      </c>
    </row>
    <row r="39" spans="1:1">
      <c r="A39" s="108" t="s">
        <v>128</v>
      </c>
    </row>
    <row r="40" spans="1:1">
      <c r="A40" s="368" t="s">
        <v>131</v>
      </c>
    </row>
    <row r="41" spans="1:1">
      <c r="A41" s="369"/>
    </row>
    <row r="228" spans="2:7">
      <c r="B228" s="6"/>
      <c r="C228" s="21"/>
      <c r="D228" s="21"/>
      <c r="E228" s="21"/>
      <c r="F228" s="21"/>
      <c r="G228" s="21"/>
    </row>
    <row r="229" spans="2:7">
      <c r="B229" s="6"/>
      <c r="C229" s="7"/>
      <c r="D229" s="7"/>
      <c r="E229" s="7"/>
      <c r="F229" s="7"/>
      <c r="G229" s="7"/>
    </row>
    <row r="230" spans="2:7">
      <c r="B230" s="6"/>
      <c r="C230" s="7"/>
      <c r="D230" s="7"/>
      <c r="E230" s="7"/>
      <c r="F230" s="7"/>
      <c r="G230" s="7"/>
    </row>
    <row r="231" spans="2:7">
      <c r="B231" s="6"/>
      <c r="C231" s="7"/>
      <c r="D231" s="7"/>
      <c r="E231" s="7"/>
      <c r="F231" s="7"/>
      <c r="G231" s="7"/>
    </row>
    <row r="232" spans="2:7">
      <c r="B232" s="6"/>
      <c r="C232" s="7"/>
      <c r="D232" s="7"/>
      <c r="E232" s="7"/>
      <c r="F232" s="7"/>
      <c r="G232" s="7"/>
    </row>
    <row r="233" spans="2:7">
      <c r="B233" s="6"/>
      <c r="C233" s="7"/>
      <c r="D233" s="7"/>
      <c r="E233" s="7"/>
      <c r="F233" s="7"/>
      <c r="G233" s="7"/>
    </row>
    <row r="234" spans="2:7">
      <c r="B234" s="6"/>
      <c r="C234" s="7"/>
      <c r="D234" s="7"/>
      <c r="E234" s="7"/>
      <c r="F234" s="7"/>
      <c r="G234" s="7"/>
    </row>
    <row r="235" spans="2:7">
      <c r="B235" s="6"/>
      <c r="C235" s="7"/>
      <c r="D235" s="7"/>
      <c r="E235" s="7"/>
      <c r="F235" s="7"/>
      <c r="G235" s="7"/>
    </row>
    <row r="236" spans="2:7">
      <c r="B236" s="6"/>
      <c r="C236" s="7"/>
      <c r="D236" s="7"/>
      <c r="E236" s="7"/>
      <c r="F236" s="7"/>
      <c r="G236" s="7"/>
    </row>
    <row r="237" spans="2:7">
      <c r="B237" s="6"/>
      <c r="C237" s="11"/>
      <c r="D237" s="11"/>
      <c r="E237" s="11"/>
      <c r="F237" s="11"/>
      <c r="G237" s="11"/>
    </row>
    <row r="238" spans="2:7">
      <c r="B238" s="6"/>
      <c r="C238" s="11"/>
      <c r="D238" s="11"/>
      <c r="E238" s="11"/>
      <c r="F238" s="11"/>
      <c r="G238" s="11"/>
    </row>
    <row r="239" spans="2:7">
      <c r="B239" s="6"/>
      <c r="C239" s="11"/>
      <c r="D239" s="11"/>
      <c r="E239" s="11"/>
      <c r="F239" s="11"/>
      <c r="G239" s="11"/>
    </row>
    <row r="240" spans="2:7">
      <c r="B240" s="6"/>
      <c r="C240" s="11"/>
      <c r="D240" s="11"/>
      <c r="E240" s="11"/>
      <c r="F240" s="11"/>
      <c r="G240" s="11"/>
    </row>
    <row r="241" spans="2:7">
      <c r="B241" s="6"/>
      <c r="C241" s="11"/>
      <c r="D241" s="11"/>
      <c r="E241" s="11"/>
      <c r="F241" s="11"/>
      <c r="G241" s="11"/>
    </row>
    <row r="242" spans="2:7">
      <c r="B242" s="19"/>
      <c r="C242" s="19"/>
      <c r="D242" s="19"/>
      <c r="E242" s="19"/>
      <c r="F242" s="19"/>
      <c r="G242" s="19"/>
    </row>
    <row r="243" spans="2:7">
      <c r="B243" s="1"/>
    </row>
  </sheetData>
  <dataValidations count="1">
    <dataValidation type="list" allowBlank="1" showInputMessage="1" showErrorMessage="1" sqref="A2:A26" xr:uid="{BCB07ABF-C994-4D3E-AA3D-87D10EAF6FA7}">
      <formula1>$A$31:$A$40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1797F-9A19-4672-9C30-6808ADE50ABE}">
  <dimension ref="A1:M12"/>
  <sheetViews>
    <sheetView workbookViewId="0">
      <selection activeCell="I8" sqref="I8"/>
    </sheetView>
  </sheetViews>
  <sheetFormatPr defaultRowHeight="15"/>
  <cols>
    <col min="1" max="1" width="38.140625" bestFit="1" customWidth="1"/>
    <col min="2" max="6" width="10.7109375" bestFit="1" customWidth="1"/>
    <col min="13" max="13" width="18.42578125" bestFit="1" customWidth="1"/>
  </cols>
  <sheetData>
    <row r="1" spans="1:13" ht="15.75">
      <c r="A1" s="94" t="s">
        <v>321</v>
      </c>
      <c r="B1" s="94" t="s">
        <v>15</v>
      </c>
      <c r="C1" s="94" t="s">
        <v>14</v>
      </c>
      <c r="D1" s="94" t="s">
        <v>13</v>
      </c>
      <c r="E1" s="94" t="s">
        <v>12</v>
      </c>
      <c r="F1" s="94" t="s">
        <v>11</v>
      </c>
      <c r="M1" s="2" t="s">
        <v>127</v>
      </c>
    </row>
    <row r="2" spans="1:13">
      <c r="A2" s="93"/>
      <c r="B2" s="360">
        <f>DSUM('Income Statement Standard '!$A$1:$G$26,B$1,'Standardized Income Statement'!$M$1:$M$2)</f>
        <v>60347918.199999996</v>
      </c>
      <c r="C2" s="360">
        <f>DSUM('Income Statement Standard '!$A$1:$G$26,C$1,'Standardized Income Statement'!$M$1:$M$2)</f>
        <v>60862262.030000001</v>
      </c>
      <c r="D2" s="360">
        <f>DSUM('Income Statement Standard '!$A$1:$G$26,D$1,'Standardized Income Statement'!$M$1:$M$2)</f>
        <v>59887233.149999999</v>
      </c>
      <c r="E2" s="360">
        <f>DSUM('Income Statement Standard '!$A$1:$G$26,E$1,'Standardized Income Statement'!$M$1:$M$2)</f>
        <v>60990672.310000002</v>
      </c>
      <c r="F2" s="360">
        <f>DSUM('Income Statement Standard '!$A$1:$G$26,F$1,'Standardized Income Statement'!$M$1:$M$2)</f>
        <v>62121042.210000001</v>
      </c>
    </row>
    <row r="3" spans="1:13" ht="15.75">
      <c r="A3" s="109" t="s">
        <v>165</v>
      </c>
      <c r="B3" s="360">
        <f t="dataTable" ref="B3:F12" dt2D="0" dtr="0" r1="M2"/>
        <v>3919709</v>
      </c>
      <c r="C3" s="360">
        <v>3717930</v>
      </c>
      <c r="D3" s="360">
        <v>3085177</v>
      </c>
      <c r="E3" s="360">
        <v>3008652</v>
      </c>
      <c r="F3" s="360">
        <v>2935586</v>
      </c>
    </row>
    <row r="4" spans="1:13" ht="15.75">
      <c r="A4" s="109" t="s">
        <v>166</v>
      </c>
      <c r="B4" s="360">
        <v>1611667</v>
      </c>
      <c r="C4" s="360">
        <v>1546377</v>
      </c>
      <c r="D4" s="360">
        <v>1284146</v>
      </c>
      <c r="E4" s="360">
        <v>1267441</v>
      </c>
      <c r="F4" s="360">
        <v>1251208</v>
      </c>
    </row>
    <row r="5" spans="1:13" ht="15.75">
      <c r="A5" s="108" t="s">
        <v>167</v>
      </c>
      <c r="B5" s="360">
        <v>938461</v>
      </c>
      <c r="C5" s="360">
        <v>943976</v>
      </c>
      <c r="D5" s="360">
        <v>820221</v>
      </c>
      <c r="E5" s="360">
        <v>819183</v>
      </c>
      <c r="F5" s="360">
        <v>812802</v>
      </c>
    </row>
    <row r="6" spans="1:13" ht="15.75">
      <c r="A6" s="108" t="s">
        <v>168</v>
      </c>
      <c r="B6" s="360">
        <v>121867</v>
      </c>
      <c r="C6" s="360">
        <v>108450</v>
      </c>
      <c r="D6" s="360">
        <v>91965</v>
      </c>
      <c r="E6" s="360">
        <v>96684</v>
      </c>
      <c r="F6" s="360">
        <v>97647</v>
      </c>
    </row>
    <row r="7" spans="1:13" ht="15.75">
      <c r="A7" s="108" t="s">
        <v>169</v>
      </c>
      <c r="B7" s="360">
        <v>177122</v>
      </c>
      <c r="C7" s="360">
        <v>169766</v>
      </c>
      <c r="D7" s="360">
        <v>140102</v>
      </c>
      <c r="E7" s="360">
        <v>143950</v>
      </c>
      <c r="F7" s="360">
        <v>141071</v>
      </c>
    </row>
    <row r="8" spans="1:13" ht="15.75">
      <c r="A8" s="108" t="s">
        <v>129</v>
      </c>
      <c r="B8" s="360">
        <v>1070592</v>
      </c>
      <c r="C8" s="360">
        <v>949361</v>
      </c>
      <c r="D8" s="360">
        <v>748743</v>
      </c>
      <c r="E8" s="360">
        <v>681394</v>
      </c>
      <c r="F8" s="360">
        <v>632858</v>
      </c>
    </row>
    <row r="9" spans="1:13" ht="15.75">
      <c r="A9" s="108" t="s">
        <v>130</v>
      </c>
      <c r="B9" s="360">
        <v>198090</v>
      </c>
      <c r="C9" s="360">
        <v>180376</v>
      </c>
      <c r="D9" s="360">
        <v>146004</v>
      </c>
      <c r="E9" s="360">
        <v>120285</v>
      </c>
      <c r="F9" s="360">
        <v>139247</v>
      </c>
    </row>
    <row r="10" spans="1:13" ht="15.75">
      <c r="A10" s="370" t="s">
        <v>456</v>
      </c>
      <c r="B10" s="371">
        <v>872502</v>
      </c>
      <c r="C10" s="371">
        <v>768985</v>
      </c>
      <c r="D10" s="371">
        <v>602739</v>
      </c>
      <c r="E10" s="371">
        <v>561109</v>
      </c>
      <c r="F10" s="371">
        <v>493611</v>
      </c>
    </row>
    <row r="11" spans="1:13" ht="15.75">
      <c r="A11" s="108" t="s">
        <v>128</v>
      </c>
      <c r="B11" s="93">
        <v>38.79</v>
      </c>
      <c r="C11" s="93">
        <v>33.25</v>
      </c>
      <c r="D11" s="93">
        <v>25.24</v>
      </c>
      <c r="E11" s="93">
        <v>22.84</v>
      </c>
      <c r="F11" s="93">
        <v>30.33</v>
      </c>
    </row>
    <row r="12" spans="1:13" ht="15.75">
      <c r="A12" s="108" t="s">
        <v>131</v>
      </c>
      <c r="B12" s="93">
        <v>38.409999999999997</v>
      </c>
      <c r="C12" s="93">
        <v>32.78</v>
      </c>
      <c r="D12" s="93">
        <v>24.91</v>
      </c>
      <c r="E12" s="93">
        <v>22.47</v>
      </c>
      <c r="F12" s="93">
        <v>19.88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C2AA9-FFF3-44F5-9FA4-1A0B3D2D36E7}">
  <dimension ref="A1:G65"/>
  <sheetViews>
    <sheetView workbookViewId="0">
      <selection activeCell="B12" sqref="B12"/>
    </sheetView>
  </sheetViews>
  <sheetFormatPr defaultRowHeight="15.75"/>
  <cols>
    <col min="1" max="1" width="39.7109375" style="2" bestFit="1" customWidth="1"/>
    <col min="2" max="2" width="88.7109375" style="2" bestFit="1" customWidth="1"/>
    <col min="3" max="7" width="12.140625" style="2" bestFit="1" customWidth="1"/>
    <col min="8" max="16384" width="9.140625" style="2"/>
  </cols>
  <sheetData>
    <row r="1" spans="1:7">
      <c r="A1" s="94" t="s">
        <v>127</v>
      </c>
      <c r="B1" s="94" t="s">
        <v>374</v>
      </c>
      <c r="C1" s="94" t="s">
        <v>15</v>
      </c>
      <c r="D1" s="94" t="s">
        <v>14</v>
      </c>
      <c r="E1" s="94" t="s">
        <v>13</v>
      </c>
      <c r="F1" s="94" t="s">
        <v>12</v>
      </c>
      <c r="G1" s="94" t="s">
        <v>11</v>
      </c>
    </row>
    <row r="2" spans="1:7">
      <c r="A2" s="111"/>
      <c r="B2" s="111"/>
      <c r="C2" s="111"/>
      <c r="D2" s="111"/>
      <c r="E2" s="111"/>
      <c r="F2" s="111"/>
      <c r="G2" s="111"/>
    </row>
    <row r="3" spans="1:7">
      <c r="A3" s="109"/>
      <c r="B3" s="38" t="s">
        <v>136</v>
      </c>
      <c r="C3" s="66"/>
      <c r="D3" s="66"/>
      <c r="E3" s="66"/>
      <c r="F3" s="66"/>
      <c r="G3" s="66"/>
    </row>
    <row r="4" spans="1:7">
      <c r="A4" s="109" t="s">
        <v>48</v>
      </c>
      <c r="B4" s="40" t="s">
        <v>48</v>
      </c>
      <c r="C4" s="87">
        <v>95966</v>
      </c>
      <c r="D4" s="87">
        <v>98564</v>
      </c>
      <c r="E4" s="87">
        <v>94254</v>
      </c>
      <c r="F4" s="87">
        <v>207785</v>
      </c>
      <c r="G4" s="87">
        <v>178110</v>
      </c>
    </row>
    <row r="5" spans="1:7">
      <c r="A5" s="109" t="s">
        <v>132</v>
      </c>
      <c r="B5" s="40" t="s">
        <v>49</v>
      </c>
      <c r="C5" s="88">
        <v>709321</v>
      </c>
      <c r="D5" s="88">
        <v>647335</v>
      </c>
      <c r="E5" s="88">
        <v>593809</v>
      </c>
      <c r="F5" s="88">
        <v>566256</v>
      </c>
      <c r="G5" s="88">
        <v>535528</v>
      </c>
    </row>
    <row r="6" spans="1:7">
      <c r="A6" s="109" t="s">
        <v>50</v>
      </c>
      <c r="B6" s="33" t="s">
        <v>50</v>
      </c>
      <c r="C6" s="63">
        <v>441694</v>
      </c>
      <c r="D6" s="63">
        <v>414543</v>
      </c>
      <c r="E6" s="63">
        <v>297611</v>
      </c>
      <c r="F6" s="63">
        <v>274285</v>
      </c>
      <c r="G6" s="63">
        <v>268821</v>
      </c>
    </row>
    <row r="7" spans="1:7">
      <c r="A7" s="109" t="s">
        <v>140</v>
      </c>
      <c r="B7" s="40" t="s">
        <v>51</v>
      </c>
      <c r="C7" s="87">
        <v>128108</v>
      </c>
      <c r="D7" s="87">
        <v>108916</v>
      </c>
      <c r="E7" s="87">
        <v>71230</v>
      </c>
      <c r="F7" s="87">
        <v>61321</v>
      </c>
      <c r="G7" s="87">
        <v>63401</v>
      </c>
    </row>
    <row r="8" spans="1:7">
      <c r="A8" s="109" t="s">
        <v>137</v>
      </c>
      <c r="B8" s="38" t="s">
        <v>52</v>
      </c>
      <c r="C8" s="66">
        <f>SUM(C4:C7)</f>
        <v>1375089</v>
      </c>
      <c r="D8" s="66">
        <f>SUM(D4:D7)</f>
        <v>1269358</v>
      </c>
      <c r="E8" s="66">
        <f t="shared" ref="E8:G8" si="0">SUM(E4:E7)</f>
        <v>1056904</v>
      </c>
      <c r="F8" s="66">
        <f t="shared" si="0"/>
        <v>1109647</v>
      </c>
      <c r="G8" s="66">
        <f t="shared" si="0"/>
        <v>1045860</v>
      </c>
    </row>
    <row r="9" spans="1:7">
      <c r="A9" s="109" t="s">
        <v>178</v>
      </c>
      <c r="B9" s="40" t="s">
        <v>111</v>
      </c>
      <c r="C9" s="88">
        <v>778600</v>
      </c>
      <c r="D9" s="88">
        <v>799365</v>
      </c>
      <c r="E9" s="88">
        <v>798868</v>
      </c>
      <c r="F9" s="88">
        <v>748657</v>
      </c>
      <c r="G9" s="88">
        <v>717526</v>
      </c>
    </row>
    <row r="10" spans="1:7">
      <c r="A10" s="109" t="s">
        <v>179</v>
      </c>
      <c r="B10" s="33" t="s">
        <v>54</v>
      </c>
      <c r="C10" s="67">
        <v>660170</v>
      </c>
      <c r="D10" s="67">
        <v>648622</v>
      </c>
      <c r="E10" s="67">
        <v>550270</v>
      </c>
      <c r="F10" s="67">
        <v>535979</v>
      </c>
      <c r="G10" s="67">
        <v>534780</v>
      </c>
    </row>
    <row r="11" spans="1:7">
      <c r="A11" s="109" t="s">
        <v>133</v>
      </c>
      <c r="B11" s="33" t="s">
        <v>55</v>
      </c>
      <c r="C11" s="63">
        <v>306054</v>
      </c>
      <c r="D11" s="63">
        <v>307450</v>
      </c>
      <c r="E11" s="63">
        <v>196785</v>
      </c>
      <c r="F11" s="63">
        <v>206242</v>
      </c>
      <c r="G11" s="63">
        <v>217308</v>
      </c>
    </row>
    <row r="12" spans="1:7">
      <c r="A12" s="109" t="s">
        <v>135</v>
      </c>
      <c r="B12" s="33" t="s">
        <v>56</v>
      </c>
      <c r="C12" s="68">
        <v>27080</v>
      </c>
      <c r="D12" s="68">
        <v>39496</v>
      </c>
      <c r="E12" s="68">
        <v>41836</v>
      </c>
      <c r="F12" s="68">
        <v>36978</v>
      </c>
      <c r="G12" s="68">
        <v>35066</v>
      </c>
    </row>
    <row r="13" spans="1:7">
      <c r="A13" s="109" t="s">
        <v>134</v>
      </c>
      <c r="B13" s="33" t="s">
        <v>57</v>
      </c>
      <c r="C13" s="63">
        <v>345402</v>
      </c>
      <c r="D13" s="63">
        <v>262507</v>
      </c>
      <c r="E13" s="63">
        <v>169886</v>
      </c>
      <c r="F13" s="63">
        <v>151818</v>
      </c>
      <c r="G13" s="63">
        <v>68307</v>
      </c>
    </row>
    <row r="14" spans="1:7">
      <c r="A14" s="109" t="s">
        <v>6</v>
      </c>
      <c r="B14" s="29" t="s">
        <v>6</v>
      </c>
      <c r="C14" s="61">
        <f>SUM(C8:C13)</f>
        <v>3492395</v>
      </c>
      <c r="D14" s="61">
        <f t="shared" ref="D14:G14" si="1">SUM(D8:D13)</f>
        <v>3326798</v>
      </c>
      <c r="E14" s="61">
        <f t="shared" si="1"/>
        <v>2814549</v>
      </c>
      <c r="F14" s="61">
        <f t="shared" si="1"/>
        <v>2789321</v>
      </c>
      <c r="G14" s="61">
        <f t="shared" si="1"/>
        <v>2618847</v>
      </c>
    </row>
    <row r="15" spans="1:7">
      <c r="A15" s="109"/>
      <c r="B15" s="29"/>
      <c r="C15" s="61"/>
      <c r="D15" s="61"/>
      <c r="E15" s="61"/>
      <c r="F15" s="61"/>
      <c r="G15" s="61"/>
    </row>
    <row r="16" spans="1:7">
      <c r="A16" s="109"/>
      <c r="B16" s="29" t="s">
        <v>59</v>
      </c>
      <c r="C16" s="69"/>
      <c r="D16" s="69"/>
      <c r="E16" s="69"/>
      <c r="F16" s="69"/>
      <c r="G16" s="69"/>
    </row>
    <row r="17" spans="1:7">
      <c r="A17" s="109"/>
      <c r="B17" s="29" t="s">
        <v>185</v>
      </c>
      <c r="C17" s="69"/>
      <c r="D17" s="69"/>
      <c r="E17" s="69"/>
      <c r="F17" s="69"/>
      <c r="G17" s="69"/>
    </row>
    <row r="18" spans="1:7">
      <c r="A18" s="109" t="s">
        <v>182</v>
      </c>
      <c r="B18" s="33" t="s">
        <v>61</v>
      </c>
      <c r="C18" s="63">
        <v>252538</v>
      </c>
      <c r="D18" s="63">
        <v>272911</v>
      </c>
      <c r="E18" s="63">
        <v>175801</v>
      </c>
      <c r="F18" s="63">
        <v>185592</v>
      </c>
      <c r="G18" s="63">
        <v>196641</v>
      </c>
    </row>
    <row r="19" spans="1:7">
      <c r="A19" s="109" t="s">
        <v>181</v>
      </c>
      <c r="B19" s="33" t="s">
        <v>115</v>
      </c>
      <c r="C19" s="63">
        <v>106054</v>
      </c>
      <c r="D19" s="63">
        <v>101134</v>
      </c>
      <c r="E19" s="63">
        <v>50317</v>
      </c>
      <c r="F19" s="63">
        <v>55868</v>
      </c>
      <c r="G19" s="63">
        <v>49670</v>
      </c>
    </row>
    <row r="20" spans="1:7">
      <c r="A20" s="109" t="s">
        <v>186</v>
      </c>
      <c r="B20" s="33" t="s">
        <v>62</v>
      </c>
      <c r="C20" s="63">
        <v>205253</v>
      </c>
      <c r="D20" s="63">
        <v>208811</v>
      </c>
      <c r="E20" s="63">
        <v>196834</v>
      </c>
      <c r="F20" s="63">
        <v>166118</v>
      </c>
      <c r="G20" s="63">
        <v>156449</v>
      </c>
    </row>
    <row r="21" spans="1:7">
      <c r="A21" s="109" t="s">
        <v>186</v>
      </c>
      <c r="B21" s="33" t="s">
        <v>63</v>
      </c>
      <c r="C21" s="63">
        <v>200031</v>
      </c>
      <c r="D21" s="63">
        <v>236265</v>
      </c>
      <c r="E21" s="63">
        <v>179252</v>
      </c>
      <c r="F21" s="63">
        <v>155402</v>
      </c>
      <c r="G21" s="63">
        <v>152516</v>
      </c>
    </row>
    <row r="22" spans="1:7">
      <c r="A22" s="109" t="s">
        <v>186</v>
      </c>
      <c r="B22" s="33" t="s">
        <v>64</v>
      </c>
      <c r="C22" s="63">
        <v>192759</v>
      </c>
      <c r="D22" s="63">
        <v>192648</v>
      </c>
      <c r="E22" s="63">
        <v>149106</v>
      </c>
      <c r="F22" s="63">
        <v>122489</v>
      </c>
      <c r="G22" s="63">
        <v>105381</v>
      </c>
    </row>
    <row r="23" spans="1:7">
      <c r="A23" s="109" t="s">
        <v>186</v>
      </c>
      <c r="B23" s="33" t="s">
        <v>65</v>
      </c>
      <c r="C23" s="63">
        <v>191096</v>
      </c>
      <c r="D23" s="63">
        <v>134769</v>
      </c>
      <c r="E23" s="63">
        <v>89017</v>
      </c>
      <c r="F23" s="63">
        <v>69043</v>
      </c>
      <c r="G23" s="63">
        <v>73777</v>
      </c>
    </row>
    <row r="24" spans="1:7">
      <c r="A24" s="109" t="s">
        <v>7</v>
      </c>
      <c r="B24" s="95" t="s">
        <v>7</v>
      </c>
      <c r="C24" s="70">
        <f>SUM(C18:C23)</f>
        <v>1147731</v>
      </c>
      <c r="D24" s="70">
        <f>SUM(D18:D23)</f>
        <v>1146538</v>
      </c>
      <c r="E24" s="70">
        <f>SUM(E18:E23)</f>
        <v>840327</v>
      </c>
      <c r="F24" s="70">
        <f>SUM(F18:F23)</f>
        <v>754512</v>
      </c>
      <c r="G24" s="70">
        <f>SUM(G18:G23)</f>
        <v>734434</v>
      </c>
    </row>
    <row r="25" spans="1:7">
      <c r="A25" s="109"/>
      <c r="B25" s="95"/>
      <c r="C25" s="70"/>
      <c r="D25" s="70"/>
      <c r="E25" s="70"/>
      <c r="F25" s="70"/>
      <c r="G25" s="70"/>
    </row>
    <row r="26" spans="1:7">
      <c r="A26" s="109" t="s">
        <v>183</v>
      </c>
      <c r="B26" s="40" t="s">
        <v>67</v>
      </c>
      <c r="C26" s="88">
        <v>1908480</v>
      </c>
      <c r="D26" s="88">
        <v>1580808</v>
      </c>
      <c r="E26" s="88">
        <v>1284174</v>
      </c>
      <c r="F26" s="88">
        <v>1235350</v>
      </c>
      <c r="G26" s="88">
        <v>985021</v>
      </c>
    </row>
    <row r="27" spans="1:7">
      <c r="A27" s="33" t="s">
        <v>184</v>
      </c>
      <c r="B27" s="33" t="s">
        <v>68</v>
      </c>
      <c r="C27" s="63">
        <v>111360</v>
      </c>
      <c r="D27" s="63">
        <v>62230</v>
      </c>
      <c r="E27" s="63">
        <v>34448</v>
      </c>
      <c r="F27" s="63">
        <v>45267</v>
      </c>
      <c r="G27" s="63">
        <v>48818</v>
      </c>
    </row>
    <row r="28" spans="1:7">
      <c r="A28" s="109" t="s">
        <v>195</v>
      </c>
      <c r="B28" s="33" t="s">
        <v>116</v>
      </c>
      <c r="C28" s="63">
        <v>300031</v>
      </c>
      <c r="D28" s="63">
        <v>365801</v>
      </c>
      <c r="E28" s="63">
        <v>372925</v>
      </c>
      <c r="F28" s="63">
        <v>333412</v>
      </c>
      <c r="G28" s="63">
        <v>260511</v>
      </c>
    </row>
    <row r="29" spans="1:7">
      <c r="A29" s="109"/>
      <c r="B29" s="95" t="s">
        <v>8</v>
      </c>
      <c r="C29" s="61">
        <v>3467602</v>
      </c>
      <c r="D29" s="61">
        <f t="shared" ref="D29:G29" si="2">SUM(D24:D28)</f>
        <v>3155377</v>
      </c>
      <c r="E29" s="61">
        <f t="shared" si="2"/>
        <v>2531874</v>
      </c>
      <c r="F29" s="61">
        <f t="shared" si="2"/>
        <v>2368541</v>
      </c>
      <c r="G29" s="61">
        <f t="shared" si="2"/>
        <v>2028784</v>
      </c>
    </row>
    <row r="30" spans="1:7">
      <c r="A30" s="109"/>
      <c r="B30" s="95"/>
      <c r="C30" s="61"/>
      <c r="D30" s="61"/>
      <c r="E30" s="61"/>
      <c r="F30" s="61"/>
      <c r="G30" s="61"/>
    </row>
    <row r="31" spans="1:7">
      <c r="A31" s="109"/>
      <c r="B31" s="29" t="s">
        <v>70</v>
      </c>
      <c r="C31" s="61"/>
      <c r="D31" s="61"/>
      <c r="E31" s="61"/>
      <c r="F31" s="61"/>
      <c r="G31" s="61"/>
    </row>
    <row r="32" spans="1:7">
      <c r="A32" s="109"/>
      <c r="B32" s="33" t="s">
        <v>114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>
      <c r="A33" s="109"/>
      <c r="B33" s="33" t="s">
        <v>113</v>
      </c>
      <c r="C33" s="63">
        <v>448</v>
      </c>
      <c r="D33" s="63">
        <v>448</v>
      </c>
      <c r="E33" s="63">
        <v>448</v>
      </c>
      <c r="F33" s="63">
        <v>448</v>
      </c>
      <c r="G33" s="63">
        <v>448</v>
      </c>
    </row>
    <row r="34" spans="1:7">
      <c r="A34" s="109"/>
      <c r="B34" s="33" t="s">
        <v>71</v>
      </c>
      <c r="C34" s="63">
        <v>850368</v>
      </c>
      <c r="D34" s="63">
        <v>825974</v>
      </c>
      <c r="E34" s="63">
        <v>805140</v>
      </c>
      <c r="F34" s="63">
        <v>783871</v>
      </c>
      <c r="G34" s="63">
        <v>764717</v>
      </c>
    </row>
    <row r="35" spans="1:7">
      <c r="A35" s="109"/>
      <c r="B35" s="33" t="s">
        <v>72</v>
      </c>
      <c r="C35" s="63">
        <v>-7325656</v>
      </c>
      <c r="D35" s="63">
        <v>-6259049</v>
      </c>
      <c r="E35" s="63">
        <v>-5283584</v>
      </c>
      <c r="F35" s="63">
        <v>-4539154</v>
      </c>
      <c r="G35" s="63">
        <v>-3814604</v>
      </c>
    </row>
    <row r="36" spans="1:7">
      <c r="A36" s="109"/>
      <c r="B36" s="33" t="s">
        <v>73</v>
      </c>
      <c r="C36" s="63">
        <v>6726866</v>
      </c>
      <c r="D36" s="63">
        <v>5859272</v>
      </c>
      <c r="E36" s="63">
        <v>5095596</v>
      </c>
      <c r="F36" s="63">
        <v>4499288</v>
      </c>
      <c r="G36" s="63">
        <v>3941916</v>
      </c>
    </row>
    <row r="37" spans="1:7">
      <c r="A37" s="109"/>
      <c r="B37" s="33" t="s">
        <v>74</v>
      </c>
      <c r="C37" s="63">
        <v>-227233</v>
      </c>
      <c r="D37" s="63">
        <v>-255224</v>
      </c>
      <c r="E37" s="63">
        <v>-334925</v>
      </c>
      <c r="F37" s="63">
        <v>-323673</v>
      </c>
      <c r="G37" s="63">
        <v>-302414</v>
      </c>
    </row>
    <row r="38" spans="1:7">
      <c r="A38" s="109" t="s">
        <v>138</v>
      </c>
      <c r="B38" s="29" t="s">
        <v>75</v>
      </c>
      <c r="C38" s="61">
        <f>SUM(C32:C37)</f>
        <v>24793</v>
      </c>
      <c r="D38" s="61">
        <f>SUM(D32:D37)</f>
        <v>171421</v>
      </c>
      <c r="E38" s="61">
        <f t="shared" ref="E38:G38" si="3">SUM(E32:E37)</f>
        <v>282675</v>
      </c>
      <c r="F38" s="61">
        <f t="shared" si="3"/>
        <v>420780</v>
      </c>
      <c r="G38" s="61">
        <f t="shared" si="3"/>
        <v>590063</v>
      </c>
    </row>
    <row r="39" spans="1:7">
      <c r="A39" s="109" t="s">
        <v>139</v>
      </c>
      <c r="B39" s="38" t="s">
        <v>76</v>
      </c>
      <c r="C39" s="64">
        <f>SUM(C29:C37)</f>
        <v>3492395</v>
      </c>
      <c r="D39" s="64">
        <f t="shared" ref="D39:G39" si="4">SUM(D29:D37)</f>
        <v>3326798</v>
      </c>
      <c r="E39" s="64">
        <f t="shared" si="4"/>
        <v>2814549</v>
      </c>
      <c r="F39" s="64">
        <f t="shared" si="4"/>
        <v>2789321</v>
      </c>
      <c r="G39" s="64">
        <f t="shared" si="4"/>
        <v>2618847</v>
      </c>
    </row>
    <row r="44" spans="1:7">
      <c r="A44" s="40" t="s">
        <v>48</v>
      </c>
    </row>
    <row r="45" spans="1:7">
      <c r="A45" s="40" t="s">
        <v>132</v>
      </c>
    </row>
    <row r="46" spans="1:7">
      <c r="A46" s="33" t="s">
        <v>50</v>
      </c>
    </row>
    <row r="47" spans="1:7">
      <c r="A47" s="33" t="s">
        <v>140</v>
      </c>
    </row>
    <row r="48" spans="1:7">
      <c r="A48" s="33" t="s">
        <v>137</v>
      </c>
    </row>
    <row r="49" spans="1:1">
      <c r="A49" s="109" t="s">
        <v>178</v>
      </c>
    </row>
    <row r="50" spans="1:1">
      <c r="A50" s="109" t="s">
        <v>179</v>
      </c>
    </row>
    <row r="51" spans="1:1">
      <c r="A51" s="109" t="s">
        <v>133</v>
      </c>
    </row>
    <row r="52" spans="1:1">
      <c r="A52" s="109" t="s">
        <v>180</v>
      </c>
    </row>
    <row r="53" spans="1:1">
      <c r="A53" s="109" t="s">
        <v>135</v>
      </c>
    </row>
    <row r="54" spans="1:1">
      <c r="A54" s="109" t="s">
        <v>134</v>
      </c>
    </row>
    <row r="55" spans="1:1">
      <c r="A55" s="109" t="s">
        <v>6</v>
      </c>
    </row>
    <row r="56" spans="1:1">
      <c r="A56" s="109" t="s">
        <v>182</v>
      </c>
    </row>
    <row r="57" spans="1:1">
      <c r="A57" s="109" t="s">
        <v>181</v>
      </c>
    </row>
    <row r="58" spans="1:1">
      <c r="A58" s="109" t="s">
        <v>186</v>
      </c>
    </row>
    <row r="59" spans="1:1">
      <c r="A59" s="109" t="s">
        <v>7</v>
      </c>
    </row>
    <row r="60" spans="1:1">
      <c r="A60" s="40" t="s">
        <v>183</v>
      </c>
    </row>
    <row r="61" spans="1:1">
      <c r="A61" s="109" t="s">
        <v>184</v>
      </c>
    </row>
    <row r="62" spans="1:1">
      <c r="A62" s="33" t="s">
        <v>195</v>
      </c>
    </row>
    <row r="63" spans="1:1">
      <c r="A63" s="33" t="s">
        <v>331</v>
      </c>
    </row>
    <row r="64" spans="1:1">
      <c r="A64" s="40" t="s">
        <v>138</v>
      </c>
    </row>
    <row r="65" spans="1:1">
      <c r="A65" s="40" t="s">
        <v>139</v>
      </c>
    </row>
  </sheetData>
  <dataValidations count="1">
    <dataValidation type="list" allowBlank="1" showInputMessage="1" showErrorMessage="1" sqref="A2:A39" xr:uid="{A1185B0D-F8E8-4EDB-91BD-DCD9BCB2A313}">
      <formula1>$A$44:$A$65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A98AC-4633-4566-AF4F-B792EC9A15B7}">
  <dimension ref="A1:M24"/>
  <sheetViews>
    <sheetView topLeftCell="A9" workbookViewId="0">
      <selection activeCell="B15" sqref="B15"/>
    </sheetView>
  </sheetViews>
  <sheetFormatPr defaultRowHeight="15"/>
  <cols>
    <col min="1" max="1" width="41.85546875" bestFit="1" customWidth="1"/>
    <col min="2" max="6" width="10.7109375" bestFit="1" customWidth="1"/>
    <col min="13" max="13" width="18.42578125" bestFit="1" customWidth="1"/>
  </cols>
  <sheetData>
    <row r="1" spans="1:13" ht="15.75">
      <c r="A1" s="94" t="s">
        <v>310</v>
      </c>
      <c r="B1" s="94" t="s">
        <v>15</v>
      </c>
      <c r="C1" s="94" t="s">
        <v>14</v>
      </c>
      <c r="D1" s="94" t="s">
        <v>13</v>
      </c>
      <c r="E1" s="94" t="s">
        <v>12</v>
      </c>
      <c r="F1" s="94" t="s">
        <v>11</v>
      </c>
      <c r="M1" s="2" t="s">
        <v>127</v>
      </c>
    </row>
    <row r="2" spans="1:13" ht="15.75">
      <c r="A2" s="93"/>
      <c r="B2" s="103">
        <f>DSUM('Balance Sheet Standard'!$A$1:$G$39,'Standardized Balance Sheet'!B$1,'Standardized Balance Sheet'!$M$1:$M$2)</f>
        <v>19984795</v>
      </c>
      <c r="C2" s="103">
        <f>DSUM('Balance Sheet Standard'!$A$1:$G$39,'Standardized Balance Sheet'!C$1,'Standardized Balance Sheet'!$M$1:$M$2)</f>
        <v>19049886</v>
      </c>
      <c r="D2" s="103">
        <f>DSUM('Balance Sheet Standard'!$A$1:$G$39,'Standardized Balance Sheet'!D$1,'Standardized Balance Sheet'!$M$1:$M$2)</f>
        <v>15969976</v>
      </c>
      <c r="E2" s="103">
        <f>DSUM('Balance Sheet Standard'!$A$1:$G$39,'Standardized Balance Sheet'!E$1,'Standardized Balance Sheet'!$M$1:$M$2)</f>
        <v>15810764</v>
      </c>
      <c r="F2" s="103">
        <f>DSUM('Balance Sheet Standard'!$A$1:$G$39,'Standardized Balance Sheet'!F$1,'Standardized Balance Sheet'!$M$1:$M$2)</f>
        <v>14874529</v>
      </c>
      <c r="M2" s="2"/>
    </row>
    <row r="3" spans="1:13" ht="15.75">
      <c r="A3" s="40" t="s">
        <v>48</v>
      </c>
      <c r="B3" s="127">
        <f t="dataTable" ref="B3:F24" dt2D="0" dtr="0" r1="M2"/>
        <v>95966</v>
      </c>
      <c r="C3" s="103">
        <v>98564</v>
      </c>
      <c r="D3" s="103">
        <v>94254</v>
      </c>
      <c r="E3" s="103">
        <v>207785</v>
      </c>
      <c r="F3" s="103">
        <v>178110</v>
      </c>
    </row>
    <row r="4" spans="1:13" ht="15.75">
      <c r="A4" s="40" t="s">
        <v>132</v>
      </c>
      <c r="B4" s="103">
        <v>709321</v>
      </c>
      <c r="C4" s="103">
        <v>647335</v>
      </c>
      <c r="D4" s="103">
        <v>593809</v>
      </c>
      <c r="E4" s="103">
        <v>566256</v>
      </c>
      <c r="F4" s="103">
        <v>535528</v>
      </c>
    </row>
    <row r="5" spans="1:13" ht="15.75">
      <c r="A5" s="33" t="s">
        <v>50</v>
      </c>
      <c r="B5" s="103">
        <v>441694</v>
      </c>
      <c r="C5" s="103">
        <v>414543</v>
      </c>
      <c r="D5" s="103">
        <v>297611</v>
      </c>
      <c r="E5" s="103">
        <v>274285</v>
      </c>
      <c r="F5" s="103">
        <v>268821</v>
      </c>
    </row>
    <row r="6" spans="1:13" ht="15.75">
      <c r="A6" s="33" t="s">
        <v>140</v>
      </c>
      <c r="B6" s="103">
        <v>128108</v>
      </c>
      <c r="C6" s="103">
        <v>108916</v>
      </c>
      <c r="D6" s="103">
        <v>71230</v>
      </c>
      <c r="E6" s="103">
        <v>61321</v>
      </c>
      <c r="F6" s="103">
        <v>63401</v>
      </c>
    </row>
    <row r="7" spans="1:13" s="104" customFormat="1" ht="15.75">
      <c r="A7" s="29" t="s">
        <v>137</v>
      </c>
      <c r="B7" s="181">
        <v>1375089</v>
      </c>
      <c r="C7" s="181">
        <v>1269358</v>
      </c>
      <c r="D7" s="181">
        <v>1056904</v>
      </c>
      <c r="E7" s="181">
        <v>1109647</v>
      </c>
      <c r="F7" s="181">
        <v>1045860</v>
      </c>
    </row>
    <row r="8" spans="1:13" ht="15.75">
      <c r="A8" s="109" t="s">
        <v>178</v>
      </c>
      <c r="B8" s="103">
        <v>778600</v>
      </c>
      <c r="C8" s="103">
        <v>799365</v>
      </c>
      <c r="D8" s="103">
        <v>798868</v>
      </c>
      <c r="E8" s="103">
        <v>748657</v>
      </c>
      <c r="F8" s="103">
        <v>717526</v>
      </c>
    </row>
    <row r="9" spans="1:13" ht="15.75">
      <c r="A9" s="109" t="s">
        <v>179</v>
      </c>
      <c r="B9" s="103">
        <v>660170</v>
      </c>
      <c r="C9" s="103">
        <v>648622</v>
      </c>
      <c r="D9" s="103">
        <v>550270</v>
      </c>
      <c r="E9" s="103">
        <v>535979</v>
      </c>
      <c r="F9" s="103">
        <v>534780</v>
      </c>
    </row>
    <row r="10" spans="1:13" ht="15.75">
      <c r="A10" s="109" t="s">
        <v>133</v>
      </c>
      <c r="B10" s="103">
        <v>306054</v>
      </c>
      <c r="C10" s="103">
        <v>307450</v>
      </c>
      <c r="D10" s="103">
        <v>196785</v>
      </c>
      <c r="E10" s="103">
        <v>206242</v>
      </c>
      <c r="F10" s="103">
        <v>217308</v>
      </c>
    </row>
    <row r="11" spans="1:13" ht="15.75">
      <c r="A11" s="109" t="s">
        <v>180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</row>
    <row r="12" spans="1:13" ht="15.75">
      <c r="A12" s="109" t="s">
        <v>135</v>
      </c>
      <c r="B12" s="103">
        <v>27080</v>
      </c>
      <c r="C12" s="103">
        <v>39496</v>
      </c>
      <c r="D12" s="103">
        <v>41836</v>
      </c>
      <c r="E12" s="103">
        <v>36978</v>
      </c>
      <c r="F12" s="103">
        <v>35066</v>
      </c>
    </row>
    <row r="13" spans="1:13" ht="15.75">
      <c r="A13" s="109" t="s">
        <v>134</v>
      </c>
      <c r="B13" s="103">
        <v>345402</v>
      </c>
      <c r="C13" s="103">
        <v>262507</v>
      </c>
      <c r="D13" s="103">
        <v>169886</v>
      </c>
      <c r="E13" s="103">
        <v>151818</v>
      </c>
      <c r="F13" s="103">
        <v>68307</v>
      </c>
    </row>
    <row r="14" spans="1:13" s="104" customFormat="1" ht="15.75">
      <c r="A14" s="112" t="s">
        <v>6</v>
      </c>
      <c r="B14" s="181">
        <v>3492395</v>
      </c>
      <c r="C14" s="181">
        <v>3326798</v>
      </c>
      <c r="D14" s="181">
        <v>2814549</v>
      </c>
      <c r="E14" s="181">
        <v>2789321</v>
      </c>
      <c r="F14" s="181">
        <v>2618847</v>
      </c>
    </row>
    <row r="15" spans="1:13" ht="15.75">
      <c r="A15" s="109" t="s">
        <v>182</v>
      </c>
      <c r="B15" s="103">
        <v>252538</v>
      </c>
      <c r="C15" s="103">
        <v>272911</v>
      </c>
      <c r="D15" s="103">
        <v>175801</v>
      </c>
      <c r="E15" s="103">
        <v>185592</v>
      </c>
      <c r="F15" s="103">
        <v>196641</v>
      </c>
    </row>
    <row r="16" spans="1:13" ht="15.75">
      <c r="A16" s="109" t="s">
        <v>181</v>
      </c>
      <c r="B16" s="103">
        <v>106054</v>
      </c>
      <c r="C16" s="103">
        <v>101134</v>
      </c>
      <c r="D16" s="103">
        <v>50317</v>
      </c>
      <c r="E16" s="103">
        <v>55868</v>
      </c>
      <c r="F16" s="103">
        <v>49670</v>
      </c>
    </row>
    <row r="17" spans="1:8" ht="15.75">
      <c r="A17" s="109" t="s">
        <v>186</v>
      </c>
      <c r="B17" s="103">
        <v>789139</v>
      </c>
      <c r="C17" s="103">
        <v>772493</v>
      </c>
      <c r="D17" s="103">
        <v>614209</v>
      </c>
      <c r="E17" s="103">
        <v>513052</v>
      </c>
      <c r="F17" s="103">
        <v>488123</v>
      </c>
    </row>
    <row r="18" spans="1:8" s="104" customFormat="1" ht="15.75">
      <c r="A18" s="112" t="s">
        <v>7</v>
      </c>
      <c r="B18" s="181">
        <v>1147731</v>
      </c>
      <c r="C18" s="181">
        <v>1146538</v>
      </c>
      <c r="D18" s="181">
        <v>840327</v>
      </c>
      <c r="E18" s="181">
        <v>754512</v>
      </c>
      <c r="F18" s="181">
        <v>734434</v>
      </c>
    </row>
    <row r="19" spans="1:8" ht="15.75">
      <c r="A19" s="40" t="s">
        <v>183</v>
      </c>
      <c r="B19" s="103">
        <v>1908480</v>
      </c>
      <c r="C19" s="103">
        <v>1580808</v>
      </c>
      <c r="D19" s="103">
        <v>1284174</v>
      </c>
      <c r="E19" s="103">
        <v>1235350</v>
      </c>
      <c r="F19" s="103">
        <v>985021</v>
      </c>
    </row>
    <row r="20" spans="1:8" ht="15.75">
      <c r="A20" s="109" t="s">
        <v>184</v>
      </c>
      <c r="B20" s="103">
        <v>111360</v>
      </c>
      <c r="C20" s="103">
        <v>62230</v>
      </c>
      <c r="D20" s="103">
        <v>34448</v>
      </c>
      <c r="E20" s="103">
        <v>45267</v>
      </c>
      <c r="F20" s="103">
        <v>48818</v>
      </c>
    </row>
    <row r="21" spans="1:8" ht="15.75">
      <c r="A21" s="33" t="s">
        <v>195</v>
      </c>
      <c r="B21" s="103">
        <v>300031</v>
      </c>
      <c r="C21" s="103">
        <v>365801</v>
      </c>
      <c r="D21" s="103">
        <v>372925</v>
      </c>
      <c r="E21" s="103">
        <v>333412</v>
      </c>
      <c r="F21" s="103">
        <v>260511</v>
      </c>
    </row>
    <row r="22" spans="1:8" s="104" customFormat="1" ht="15.75">
      <c r="A22" s="29" t="s">
        <v>331</v>
      </c>
      <c r="B22" s="181">
        <v>3492395</v>
      </c>
      <c r="C22" s="181">
        <v>3326798</v>
      </c>
      <c r="D22" s="181">
        <v>2814549</v>
      </c>
      <c r="E22" s="181">
        <v>2789321</v>
      </c>
      <c r="F22" s="181">
        <v>2618847</v>
      </c>
    </row>
    <row r="23" spans="1:8" s="104" customFormat="1" ht="15.75">
      <c r="A23" s="38" t="s">
        <v>138</v>
      </c>
      <c r="B23" s="181">
        <v>24793</v>
      </c>
      <c r="C23" s="181">
        <v>171421</v>
      </c>
      <c r="D23" s="181">
        <v>282675</v>
      </c>
      <c r="E23" s="181">
        <v>420780</v>
      </c>
      <c r="F23" s="181">
        <v>590063</v>
      </c>
      <c r="H23" s="182"/>
    </row>
    <row r="24" spans="1:8" s="104" customFormat="1" ht="15.75">
      <c r="A24" s="38" t="s">
        <v>139</v>
      </c>
      <c r="B24" s="181">
        <v>3492395</v>
      </c>
      <c r="C24" s="181">
        <v>3326798</v>
      </c>
      <c r="D24" s="181">
        <v>2814549</v>
      </c>
      <c r="E24" s="181">
        <v>2789321</v>
      </c>
      <c r="F24" s="181">
        <v>2618847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75F94-0DC4-4082-A506-BA99E21DF39F}">
  <dimension ref="A1:H73"/>
  <sheetViews>
    <sheetView topLeftCell="A36" workbookViewId="0">
      <selection activeCell="B35" sqref="B35"/>
    </sheetView>
  </sheetViews>
  <sheetFormatPr defaultRowHeight="15.75"/>
  <cols>
    <col min="1" max="1" width="61.5703125" style="2" bestFit="1" customWidth="1"/>
    <col min="2" max="2" width="99.85546875" style="2" bestFit="1" customWidth="1"/>
    <col min="3" max="6" width="12.140625" style="2" bestFit="1" customWidth="1"/>
    <col min="7" max="7" width="11" style="2" bestFit="1" customWidth="1"/>
    <col min="8" max="16384" width="9.140625" style="2"/>
  </cols>
  <sheetData>
    <row r="1" spans="1:7">
      <c r="A1" s="94" t="s">
        <v>127</v>
      </c>
      <c r="B1" s="94" t="s">
        <v>375</v>
      </c>
      <c r="C1" s="94" t="s">
        <v>15</v>
      </c>
      <c r="D1" s="94" t="s">
        <v>14</v>
      </c>
      <c r="E1" s="94" t="s">
        <v>13</v>
      </c>
      <c r="F1" s="94" t="s">
        <v>12</v>
      </c>
      <c r="G1" s="94" t="s">
        <v>11</v>
      </c>
    </row>
    <row r="2" spans="1:7">
      <c r="A2" s="111"/>
      <c r="B2" s="113"/>
      <c r="C2" s="113"/>
      <c r="D2" s="113"/>
      <c r="E2" s="113"/>
      <c r="F2" s="113"/>
      <c r="G2" s="113"/>
    </row>
    <row r="3" spans="1:7">
      <c r="A3" s="108"/>
      <c r="B3" s="34" t="s">
        <v>92</v>
      </c>
      <c r="C3" s="75"/>
      <c r="D3" s="75"/>
      <c r="E3" s="75"/>
      <c r="F3" s="75"/>
      <c r="G3" s="75"/>
    </row>
    <row r="4" spans="1:7">
      <c r="A4" s="114" t="s">
        <v>197</v>
      </c>
      <c r="B4" s="33" t="s">
        <v>78</v>
      </c>
      <c r="C4" s="74">
        <v>872502</v>
      </c>
      <c r="D4" s="74">
        <v>768985</v>
      </c>
      <c r="E4" s="74">
        <v>602739</v>
      </c>
      <c r="F4" s="74">
        <v>561109</v>
      </c>
      <c r="G4" s="74">
        <v>512611</v>
      </c>
    </row>
    <row r="5" spans="1:7">
      <c r="A5" s="108"/>
      <c r="B5" s="34" t="s">
        <v>79</v>
      </c>
      <c r="C5" s="75"/>
      <c r="D5" s="75"/>
      <c r="E5" s="75"/>
      <c r="F5" s="75"/>
      <c r="G5" s="75"/>
    </row>
    <row r="6" spans="1:7">
      <c r="A6" s="114" t="s">
        <v>148</v>
      </c>
      <c r="B6" s="96" t="s">
        <v>80</v>
      </c>
      <c r="C6" s="76">
        <v>46784</v>
      </c>
      <c r="D6" s="76">
        <v>44982</v>
      </c>
      <c r="E6" s="76">
        <v>42044</v>
      </c>
      <c r="F6" s="76">
        <v>38991</v>
      </c>
      <c r="G6" s="76">
        <v>37167</v>
      </c>
    </row>
    <row r="7" spans="1:7">
      <c r="A7" s="114" t="s">
        <v>148</v>
      </c>
      <c r="B7" s="33" t="s">
        <v>23</v>
      </c>
      <c r="C7" s="76">
        <v>66239</v>
      </c>
      <c r="D7" s="76">
        <v>63075</v>
      </c>
      <c r="E7" s="76">
        <v>56665</v>
      </c>
      <c r="F7" s="76">
        <v>49690</v>
      </c>
      <c r="G7" s="76">
        <v>47524</v>
      </c>
    </row>
    <row r="8" spans="1:7">
      <c r="A8" s="114" t="s">
        <v>148</v>
      </c>
      <c r="B8" s="33" t="s">
        <v>117</v>
      </c>
      <c r="C8" s="76">
        <v>26517</v>
      </c>
      <c r="D8" s="76">
        <v>563</v>
      </c>
      <c r="E8" s="76">
        <v>-12784</v>
      </c>
      <c r="F8" s="76">
        <v>11203</v>
      </c>
      <c r="G8" s="76">
        <v>2302</v>
      </c>
    </row>
    <row r="9" spans="1:7">
      <c r="A9" s="114" t="s">
        <v>148</v>
      </c>
      <c r="B9" s="33" t="s">
        <v>81</v>
      </c>
      <c r="C9" s="76">
        <v>19661</v>
      </c>
      <c r="D9" s="76">
        <v>19595</v>
      </c>
      <c r="E9" s="76">
        <v>18687</v>
      </c>
      <c r="F9" s="76">
        <v>18285</v>
      </c>
      <c r="G9" s="76">
        <v>17579</v>
      </c>
    </row>
    <row r="10" spans="1:7">
      <c r="A10" s="110" t="s">
        <v>149</v>
      </c>
      <c r="B10" s="33" t="s">
        <v>82</v>
      </c>
      <c r="C10" s="74">
        <v>0</v>
      </c>
      <c r="D10" s="74">
        <v>0</v>
      </c>
      <c r="E10" s="74">
        <v>0</v>
      </c>
      <c r="F10" s="74">
        <v>-15833</v>
      </c>
      <c r="G10" s="74">
        <v>0</v>
      </c>
    </row>
    <row r="11" spans="1:7">
      <c r="A11" s="110" t="s">
        <v>149</v>
      </c>
      <c r="B11" s="33" t="s">
        <v>83</v>
      </c>
      <c r="C11" s="74">
        <v>0</v>
      </c>
      <c r="D11" s="74">
        <v>0</v>
      </c>
      <c r="E11" s="74">
        <v>0</v>
      </c>
      <c r="F11" s="74">
        <v>0</v>
      </c>
      <c r="G11" s="74">
        <v>3597</v>
      </c>
    </row>
    <row r="12" spans="1:7">
      <c r="A12" s="110" t="s">
        <v>149</v>
      </c>
      <c r="B12" s="33" t="s">
        <v>84</v>
      </c>
      <c r="C12" s="74">
        <v>0</v>
      </c>
      <c r="D12" s="74">
        <v>6849</v>
      </c>
      <c r="E12" s="74">
        <v>0</v>
      </c>
      <c r="F12" s="74">
        <v>0</v>
      </c>
      <c r="G12" s="74">
        <v>-18674</v>
      </c>
    </row>
    <row r="13" spans="1:7">
      <c r="A13" s="110" t="s">
        <v>149</v>
      </c>
      <c r="B13" s="33" t="s">
        <v>85</v>
      </c>
      <c r="C13" s="74">
        <v>0</v>
      </c>
      <c r="D13" s="74">
        <v>381</v>
      </c>
      <c r="E13" s="74">
        <v>-2399</v>
      </c>
      <c r="F13" s="74">
        <v>133</v>
      </c>
      <c r="G13" s="74">
        <v>-2559</v>
      </c>
    </row>
    <row r="14" spans="1:7">
      <c r="A14" s="108"/>
      <c r="B14" s="29" t="s">
        <v>86</v>
      </c>
      <c r="C14" s="77"/>
      <c r="D14" s="77"/>
      <c r="E14" s="77"/>
      <c r="F14" s="77"/>
      <c r="G14" s="77"/>
    </row>
    <row r="15" spans="1:7">
      <c r="A15" s="108" t="s">
        <v>150</v>
      </c>
      <c r="B15" s="33" t="s">
        <v>87</v>
      </c>
      <c r="C15" s="74">
        <v>-83417</v>
      </c>
      <c r="D15" s="74">
        <v>-66468</v>
      </c>
      <c r="E15" s="74">
        <v>-4495</v>
      </c>
      <c r="F15" s="74">
        <v>-31408</v>
      </c>
      <c r="G15" s="74">
        <v>-19540</v>
      </c>
    </row>
    <row r="16" spans="1:7">
      <c r="A16" s="108" t="s">
        <v>150</v>
      </c>
      <c r="B16" s="40" t="s">
        <v>50</v>
      </c>
      <c r="C16" s="90">
        <v>-43392</v>
      </c>
      <c r="D16" s="90">
        <v>-118718</v>
      </c>
      <c r="E16" s="90">
        <v>-3836</v>
      </c>
      <c r="F16" s="90">
        <v>-4603</v>
      </c>
      <c r="G16" s="90">
        <v>-21195</v>
      </c>
    </row>
    <row r="17" spans="1:7">
      <c r="A17" s="108" t="s">
        <v>150</v>
      </c>
      <c r="B17" s="40" t="s">
        <v>88</v>
      </c>
      <c r="C17" s="91">
        <v>-16263</v>
      </c>
      <c r="D17" s="91">
        <v>-5040</v>
      </c>
      <c r="E17" s="91">
        <v>-4763</v>
      </c>
      <c r="F17" s="91">
        <v>-335</v>
      </c>
      <c r="G17" s="91">
        <v>622</v>
      </c>
    </row>
    <row r="18" spans="1:7">
      <c r="A18" s="108" t="s">
        <v>150</v>
      </c>
      <c r="B18" s="40" t="s">
        <v>89</v>
      </c>
      <c r="C18" s="91">
        <v>-13826</v>
      </c>
      <c r="D18" s="91">
        <v>93973</v>
      </c>
      <c r="E18" s="91">
        <v>-17803</v>
      </c>
      <c r="F18" s="91">
        <v>-12221</v>
      </c>
      <c r="G18" s="91">
        <v>33671</v>
      </c>
    </row>
    <row r="19" spans="1:7">
      <c r="A19" s="108" t="s">
        <v>150</v>
      </c>
      <c r="B19" s="33" t="s">
        <v>122</v>
      </c>
      <c r="C19" s="74">
        <v>-71597</v>
      </c>
      <c r="D19" s="74">
        <v>80960</v>
      </c>
      <c r="E19" s="74">
        <v>36595</v>
      </c>
      <c r="F19" s="74">
        <v>-5385</v>
      </c>
      <c r="G19" s="74">
        <v>-26572</v>
      </c>
    </row>
    <row r="20" spans="1:7">
      <c r="A20" s="108" t="s">
        <v>141</v>
      </c>
      <c r="B20" s="115" t="s">
        <v>156</v>
      </c>
      <c r="C20" s="77">
        <f>SUM(C4:C19)</f>
        <v>803208</v>
      </c>
      <c r="D20" s="77">
        <f>SUM(D4:D19)</f>
        <v>889137</v>
      </c>
      <c r="E20" s="77">
        <f>SUM(E4:E19)</f>
        <v>710650</v>
      </c>
      <c r="F20" s="77">
        <f>SUM(F4:F19)</f>
        <v>609626</v>
      </c>
      <c r="G20" s="77">
        <f>SUM(G4:G19)</f>
        <v>566533</v>
      </c>
    </row>
    <row r="21" spans="1:7">
      <c r="A21" s="108" t="s">
        <v>158</v>
      </c>
      <c r="B21" s="33" t="s">
        <v>155</v>
      </c>
      <c r="C21" s="74">
        <v>55859</v>
      </c>
      <c r="D21" s="74">
        <v>19688</v>
      </c>
      <c r="E21" s="74">
        <v>14049</v>
      </c>
      <c r="F21" s="74">
        <v>-6176</v>
      </c>
      <c r="G21" s="74">
        <v>-1528</v>
      </c>
    </row>
    <row r="22" spans="1:7">
      <c r="A22" s="108" t="s">
        <v>196</v>
      </c>
      <c r="B22" s="115" t="s">
        <v>157</v>
      </c>
      <c r="C22" s="77">
        <f>C20+C21</f>
        <v>859067</v>
      </c>
      <c r="D22" s="77">
        <f>D20+D21</f>
        <v>908825</v>
      </c>
      <c r="E22" s="77">
        <f>E20+E21</f>
        <v>724699</v>
      </c>
      <c r="F22" s="77">
        <f>F20+F21</f>
        <v>603450</v>
      </c>
      <c r="G22" s="77">
        <f>G20+G21</f>
        <v>565005</v>
      </c>
    </row>
    <row r="23" spans="1:7">
      <c r="A23" s="108"/>
      <c r="B23" s="29" t="s">
        <v>91</v>
      </c>
      <c r="C23" s="77"/>
      <c r="D23" s="77"/>
      <c r="E23" s="77"/>
      <c r="F23" s="77"/>
      <c r="G23" s="77"/>
    </row>
    <row r="24" spans="1:7" ht="31.5">
      <c r="A24" s="116" t="s">
        <v>151</v>
      </c>
      <c r="B24" s="33" t="s">
        <v>93</v>
      </c>
      <c r="C24" s="74">
        <v>399</v>
      </c>
      <c r="D24" s="74">
        <v>3652</v>
      </c>
      <c r="E24" s="74">
        <v>3106</v>
      </c>
      <c r="F24" s="74">
        <v>1422</v>
      </c>
      <c r="G24" s="74">
        <v>8190</v>
      </c>
    </row>
    <row r="25" spans="1:7" ht="31.5">
      <c r="A25" s="116" t="s">
        <v>151</v>
      </c>
      <c r="B25" s="33" t="s">
        <v>123</v>
      </c>
      <c r="C25" s="74">
        <v>-121241</v>
      </c>
      <c r="D25" s="74">
        <v>-107580</v>
      </c>
      <c r="E25" s="74">
        <v>-92494</v>
      </c>
      <c r="F25" s="74">
        <v>-97341</v>
      </c>
      <c r="G25" s="74">
        <v>-142726</v>
      </c>
    </row>
    <row r="26" spans="1:7" ht="31.5">
      <c r="A26" s="116" t="s">
        <v>151</v>
      </c>
      <c r="B26" s="33" t="s">
        <v>126</v>
      </c>
      <c r="C26" s="74">
        <v>29670</v>
      </c>
      <c r="D26" s="74">
        <v>0</v>
      </c>
      <c r="E26" s="74">
        <v>0</v>
      </c>
      <c r="F26" s="74">
        <v>0</v>
      </c>
      <c r="G26" s="74">
        <v>0</v>
      </c>
    </row>
    <row r="27" spans="1:7" ht="31.5">
      <c r="A27" s="116" t="s">
        <v>151</v>
      </c>
      <c r="B27" s="33" t="s">
        <v>94</v>
      </c>
      <c r="C27" s="74">
        <v>-37951</v>
      </c>
      <c r="D27" s="74">
        <v>-220862</v>
      </c>
      <c r="E27" s="74">
        <v>-6242</v>
      </c>
      <c r="F27" s="74">
        <v>-2004</v>
      </c>
      <c r="G27" s="74">
        <v>-5527</v>
      </c>
    </row>
    <row r="28" spans="1:7" ht="31.5">
      <c r="A28" s="116" t="s">
        <v>151</v>
      </c>
      <c r="B28" s="33" t="s">
        <v>118</v>
      </c>
      <c r="C28" s="74">
        <v>-10272</v>
      </c>
      <c r="D28" s="74">
        <v>10682</v>
      </c>
      <c r="E28" s="74">
        <v>-4730</v>
      </c>
      <c r="F28" s="74">
        <v>-1160</v>
      </c>
      <c r="G28" s="74">
        <v>1119</v>
      </c>
    </row>
    <row r="29" spans="1:7">
      <c r="A29" s="108" t="s">
        <v>142</v>
      </c>
      <c r="B29" s="29" t="s">
        <v>95</v>
      </c>
      <c r="C29" s="77">
        <f>SUM(C24:C28)</f>
        <v>-139395</v>
      </c>
      <c r="D29" s="77">
        <f t="shared" ref="D29:G29" si="0">SUM(D24:D28)</f>
        <v>-314108</v>
      </c>
      <c r="E29" s="77">
        <f t="shared" si="0"/>
        <v>-100360</v>
      </c>
      <c r="F29" s="77">
        <f t="shared" si="0"/>
        <v>-99083</v>
      </c>
      <c r="G29" s="77">
        <f t="shared" si="0"/>
        <v>-138944</v>
      </c>
    </row>
    <row r="30" spans="1:7">
      <c r="A30" s="108"/>
      <c r="B30" s="33"/>
      <c r="C30" s="74"/>
      <c r="D30" s="74"/>
      <c r="E30" s="74"/>
      <c r="F30" s="74"/>
      <c r="G30" s="74"/>
    </row>
    <row r="31" spans="1:7">
      <c r="A31" s="108"/>
      <c r="B31" s="38" t="s">
        <v>96</v>
      </c>
      <c r="C31" s="78"/>
      <c r="D31" s="78"/>
      <c r="E31" s="78"/>
      <c r="F31" s="78"/>
      <c r="G31" s="78"/>
    </row>
    <row r="32" spans="1:7">
      <c r="A32" s="114" t="s">
        <v>152</v>
      </c>
      <c r="B32" s="40" t="s">
        <v>97</v>
      </c>
      <c r="C32" s="91">
        <v>2307256</v>
      </c>
      <c r="D32" s="91">
        <v>2427519</v>
      </c>
      <c r="E32" s="91">
        <v>1489040</v>
      </c>
      <c r="F32" s="91">
        <v>1435081</v>
      </c>
      <c r="G32" s="91">
        <v>940615</v>
      </c>
    </row>
    <row r="33" spans="1:8">
      <c r="A33" s="114" t="s">
        <v>152</v>
      </c>
      <c r="B33" s="33" t="s">
        <v>98</v>
      </c>
      <c r="C33" s="74">
        <v>-1947398</v>
      </c>
      <c r="D33" s="74">
        <v>-2035546</v>
      </c>
      <c r="E33" s="74">
        <v>-1483869</v>
      </c>
      <c r="F33" s="74">
        <v>-1176784</v>
      </c>
      <c r="G33" s="74">
        <v>-876324</v>
      </c>
    </row>
    <row r="34" spans="1:8">
      <c r="A34" s="117" t="s">
        <v>153</v>
      </c>
      <c r="B34" s="40" t="s">
        <v>99</v>
      </c>
      <c r="C34" s="91">
        <v>33216</v>
      </c>
      <c r="D34" s="91">
        <v>20463</v>
      </c>
      <c r="E34" s="91">
        <v>26719</v>
      </c>
      <c r="F34" s="91">
        <v>47581</v>
      </c>
      <c r="G34" s="91">
        <v>24600</v>
      </c>
    </row>
    <row r="35" spans="1:8">
      <c r="A35" s="117" t="s">
        <v>153</v>
      </c>
      <c r="B35" s="40" t="s">
        <v>100</v>
      </c>
      <c r="C35" s="90">
        <v>-1099998</v>
      </c>
      <c r="D35" s="90">
        <v>-999998</v>
      </c>
      <c r="E35" s="90">
        <v>-774998</v>
      </c>
      <c r="F35" s="90">
        <v>-774999</v>
      </c>
      <c r="G35" s="90">
        <v>-474999</v>
      </c>
    </row>
    <row r="36" spans="1:8">
      <c r="A36" s="117" t="s">
        <v>154</v>
      </c>
      <c r="B36" s="40" t="s">
        <v>101</v>
      </c>
      <c r="C36" s="91">
        <v>-7912</v>
      </c>
      <c r="D36" s="91">
        <v>0</v>
      </c>
      <c r="E36" s="91">
        <v>0</v>
      </c>
      <c r="F36" s="91">
        <v>-10000</v>
      </c>
      <c r="G36" s="91">
        <v>0</v>
      </c>
    </row>
    <row r="37" spans="1:8">
      <c r="A37" s="117" t="s">
        <v>154</v>
      </c>
      <c r="B37" s="40" t="s">
        <v>102</v>
      </c>
      <c r="C37" s="90">
        <v>-1203</v>
      </c>
      <c r="D37" s="90">
        <v>-2987</v>
      </c>
      <c r="E37" s="90">
        <v>-800</v>
      </c>
      <c r="F37" s="90">
        <v>1753</v>
      </c>
      <c r="G37" s="90">
        <v>-1914</v>
      </c>
    </row>
    <row r="38" spans="1:8">
      <c r="A38" s="108" t="s">
        <v>143</v>
      </c>
      <c r="B38" s="38" t="s">
        <v>103</v>
      </c>
      <c r="C38" s="78">
        <f>SUM(C32:C37)</f>
        <v>-716039</v>
      </c>
      <c r="D38" s="78">
        <f t="shared" ref="D38:G38" si="1">SUM(D32:D37)</f>
        <v>-590549</v>
      </c>
      <c r="E38" s="78">
        <f t="shared" si="1"/>
        <v>-743908</v>
      </c>
      <c r="F38" s="78">
        <f t="shared" si="1"/>
        <v>-477368</v>
      </c>
      <c r="G38" s="78">
        <f t="shared" si="1"/>
        <v>-388022</v>
      </c>
      <c r="H38" s="180"/>
    </row>
    <row r="39" spans="1:8">
      <c r="A39" s="108"/>
      <c r="B39" s="38"/>
      <c r="C39" s="79"/>
      <c r="D39" s="79"/>
      <c r="E39" s="79"/>
      <c r="F39" s="79"/>
      <c r="G39" s="79"/>
    </row>
    <row r="40" spans="1:8">
      <c r="A40" s="108"/>
      <c r="B40" s="40" t="s">
        <v>124</v>
      </c>
      <c r="C40" s="91">
        <v>-6231</v>
      </c>
      <c r="D40" s="91">
        <v>142</v>
      </c>
      <c r="E40" s="91">
        <v>6038</v>
      </c>
      <c r="F40" s="91">
        <v>2676</v>
      </c>
      <c r="G40" s="91">
        <v>8616</v>
      </c>
      <c r="H40" s="180"/>
    </row>
    <row r="41" spans="1:8">
      <c r="A41" s="108"/>
      <c r="B41" s="33" t="s">
        <v>125</v>
      </c>
      <c r="C41" s="74">
        <v>-2598</v>
      </c>
      <c r="D41" s="74">
        <v>4310</v>
      </c>
      <c r="E41" s="74">
        <v>-113531</v>
      </c>
      <c r="F41" s="74">
        <v>29675</v>
      </c>
      <c r="G41" s="74">
        <v>29423</v>
      </c>
    </row>
    <row r="42" spans="1:8">
      <c r="A42" s="109"/>
      <c r="B42" s="29" t="s">
        <v>104</v>
      </c>
      <c r="C42" s="80"/>
      <c r="D42" s="80"/>
      <c r="E42" s="80"/>
      <c r="F42" s="80"/>
      <c r="G42" s="80"/>
    </row>
    <row r="43" spans="1:8">
      <c r="A43" s="108" t="s">
        <v>144</v>
      </c>
      <c r="B43" s="33" t="s">
        <v>105</v>
      </c>
      <c r="C43" s="74">
        <v>98564</v>
      </c>
      <c r="D43" s="74">
        <v>94254</v>
      </c>
      <c r="E43" s="74">
        <v>207785</v>
      </c>
      <c r="F43" s="74">
        <v>178110</v>
      </c>
      <c r="G43" s="74">
        <v>148687</v>
      </c>
    </row>
    <row r="44" spans="1:8">
      <c r="A44" s="108" t="s">
        <v>145</v>
      </c>
      <c r="B44" s="33" t="s">
        <v>106</v>
      </c>
      <c r="C44" s="74">
        <v>95966</v>
      </c>
      <c r="D44" s="74">
        <v>98564</v>
      </c>
      <c r="E44" s="74">
        <v>94254</v>
      </c>
      <c r="F44" s="74">
        <v>207785</v>
      </c>
      <c r="G44" s="74">
        <v>178110</v>
      </c>
    </row>
    <row r="45" spans="1:8">
      <c r="A45" s="108"/>
      <c r="B45" s="456"/>
      <c r="C45" s="74"/>
      <c r="D45" s="74"/>
      <c r="E45" s="74"/>
      <c r="F45" s="74"/>
      <c r="G45" s="74"/>
    </row>
    <row r="46" spans="1:8">
      <c r="A46" s="193"/>
      <c r="B46" s="457" t="s">
        <v>107</v>
      </c>
      <c r="C46" s="454"/>
      <c r="D46" s="77"/>
      <c r="E46" s="77"/>
      <c r="F46" s="77"/>
      <c r="G46" s="77"/>
    </row>
    <row r="47" spans="1:8">
      <c r="A47" s="453"/>
      <c r="B47" s="457" t="s">
        <v>108</v>
      </c>
      <c r="C47" s="454"/>
      <c r="D47" s="77"/>
      <c r="E47" s="77"/>
      <c r="F47" s="77"/>
      <c r="G47" s="77"/>
    </row>
    <row r="48" spans="1:8">
      <c r="A48" s="453" t="s">
        <v>146</v>
      </c>
      <c r="B48" s="458" t="s">
        <v>109</v>
      </c>
      <c r="C48" s="455">
        <v>52314</v>
      </c>
      <c r="D48" s="81">
        <v>41338</v>
      </c>
      <c r="E48" s="81">
        <v>37772</v>
      </c>
      <c r="F48" s="81">
        <v>37499</v>
      </c>
      <c r="G48" s="81">
        <v>34451</v>
      </c>
    </row>
    <row r="49" spans="1:7">
      <c r="A49" s="453" t="s">
        <v>147</v>
      </c>
      <c r="B49" s="458" t="s">
        <v>110</v>
      </c>
      <c r="C49" s="455">
        <v>114038</v>
      </c>
      <c r="D49" s="81">
        <v>152657</v>
      </c>
      <c r="E49" s="81">
        <v>134674</v>
      </c>
      <c r="F49" s="81">
        <v>129347</v>
      </c>
      <c r="G49" s="81">
        <v>132410</v>
      </c>
    </row>
    <row r="54" spans="1:7">
      <c r="A54" t="s">
        <v>197</v>
      </c>
    </row>
    <row r="55" spans="1:7">
      <c r="A55" s="2" t="s">
        <v>197</v>
      </c>
    </row>
    <row r="56" spans="1:7">
      <c r="A56" t="s">
        <v>148</v>
      </c>
    </row>
    <row r="57" spans="1:7">
      <c r="A57" t="s">
        <v>149</v>
      </c>
    </row>
    <row r="58" spans="1:7">
      <c r="A58" t="s">
        <v>150</v>
      </c>
    </row>
    <row r="59" spans="1:7">
      <c r="A59" t="s">
        <v>141</v>
      </c>
    </row>
    <row r="60" spans="1:7">
      <c r="A60" t="s">
        <v>158</v>
      </c>
    </row>
    <row r="61" spans="1:7" ht="21" customHeight="1">
      <c r="A61" t="s">
        <v>196</v>
      </c>
    </row>
    <row r="62" spans="1:7">
      <c r="A62" t="s">
        <v>151</v>
      </c>
    </row>
    <row r="63" spans="1:7">
      <c r="A63" t="s">
        <v>142</v>
      </c>
    </row>
    <row r="64" spans="1:7">
      <c r="A64" t="s">
        <v>152</v>
      </c>
    </row>
    <row r="65" spans="1:2">
      <c r="A65" t="s">
        <v>153</v>
      </c>
    </row>
    <row r="66" spans="1:2">
      <c r="A66" t="s">
        <v>154</v>
      </c>
    </row>
    <row r="67" spans="1:2">
      <c r="A67" t="s">
        <v>143</v>
      </c>
    </row>
    <row r="68" spans="1:2">
      <c r="A68" t="s">
        <v>144</v>
      </c>
    </row>
    <row r="69" spans="1:2">
      <c r="A69" t="s">
        <v>145</v>
      </c>
    </row>
    <row r="70" spans="1:2">
      <c r="A70" t="s">
        <v>146</v>
      </c>
    </row>
    <row r="71" spans="1:2">
      <c r="A71" t="s">
        <v>147</v>
      </c>
    </row>
    <row r="72" spans="1:2">
      <c r="A72" s="123"/>
    </row>
    <row r="73" spans="1:2">
      <c r="A73" s="124"/>
      <c r="B73" s="124"/>
    </row>
  </sheetData>
  <dataValidations count="2">
    <dataValidation type="list" allowBlank="1" showInputMessage="1" showErrorMessage="1" sqref="A3" xr:uid="{6A5F8B3D-7A60-469E-B80F-C5AD6F04E236}">
      <formula1>#REF!</formula1>
    </dataValidation>
    <dataValidation type="list" allowBlank="1" showInputMessage="1" showErrorMessage="1" sqref="A54 A4:A49" xr:uid="{4C8AB9B3-2B40-4FBE-9EC7-B1882BD661BC}">
      <formula1>$A$54:$A$71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8B425-D803-4478-B9A9-12AA3B2DEB5B}">
  <dimension ref="A1:M19"/>
  <sheetViews>
    <sheetView topLeftCell="A7" workbookViewId="0">
      <selection activeCell="B3" sqref="B3"/>
    </sheetView>
  </sheetViews>
  <sheetFormatPr defaultColWidth="8.85546875" defaultRowHeight="15.75"/>
  <cols>
    <col min="1" max="1" width="61.5703125" style="2" bestFit="1" customWidth="1"/>
    <col min="2" max="2" width="11.5703125" style="2" bestFit="1" customWidth="1"/>
    <col min="3" max="6" width="10.42578125" style="2" bestFit="1" customWidth="1"/>
    <col min="7" max="12" width="8.85546875" style="2"/>
    <col min="13" max="13" width="18.42578125" style="2" bestFit="1" customWidth="1"/>
    <col min="14" max="16384" width="8.85546875" style="2"/>
  </cols>
  <sheetData>
    <row r="1" spans="1:13">
      <c r="A1" s="94" t="s">
        <v>311</v>
      </c>
      <c r="B1" s="94" t="s">
        <v>15</v>
      </c>
      <c r="C1" s="94" t="s">
        <v>14</v>
      </c>
      <c r="D1" s="94" t="s">
        <v>13</v>
      </c>
      <c r="E1" s="94" t="s">
        <v>12</v>
      </c>
      <c r="F1" s="94" t="s">
        <v>11</v>
      </c>
      <c r="M1" s="2" t="s">
        <v>127</v>
      </c>
    </row>
    <row r="2" spans="1:13">
      <c r="A2" s="109"/>
      <c r="B2" s="127">
        <f>DSUM('Standard Cash Flows'!$A1:$G49,'Standardized Cash Flows  '!B$1,'Standardized Cash Flows  '!$M$1:$M$2)</f>
        <v>1162527</v>
      </c>
      <c r="C2" s="127">
        <f>DSUM('Standard Cash Flows'!$A1:$G49,'Standardized Cash Flows  '!C$1,'Standardized Cash Flows  '!$M$1:$M$2)</f>
        <v>1288738</v>
      </c>
      <c r="D2" s="127">
        <f>DSUM('Standard Cash Flows'!$A1:$G49,'Standardized Cash Flows  '!D$1,'Standardized Cash Flows  '!$M$1:$M$2)</f>
        <v>838504</v>
      </c>
      <c r="E2" s="127">
        <f>DSUM('Standard Cash Flows'!$A1:$G49,'Standardized Cash Flows  '!E$1,'Standardized Cash Flows  '!$M$1:$M$2)</f>
        <v>1248716</v>
      </c>
      <c r="F2" s="127">
        <f>DSUM('Standard Cash Flows'!$A1:$G49,'Standardized Cash Flows  '!F$1,'Standardized Cash Flows  '!$M$1:$M$2)</f>
        <v>1174308</v>
      </c>
    </row>
    <row r="3" spans="1:13">
      <c r="A3" s="114" t="s">
        <v>197</v>
      </c>
      <c r="B3" s="127">
        <f t="dataTable" ref="B3:F19" dt2D="0" dtr="0" r1="M2"/>
        <v>872502</v>
      </c>
      <c r="C3" s="127">
        <v>768985</v>
      </c>
      <c r="D3" s="127">
        <v>602739</v>
      </c>
      <c r="E3" s="127">
        <v>561109</v>
      </c>
      <c r="F3" s="127">
        <v>512611</v>
      </c>
    </row>
    <row r="4" spans="1:13">
      <c r="A4" s="118" t="s">
        <v>148</v>
      </c>
      <c r="B4" s="127">
        <v>159201</v>
      </c>
      <c r="C4" s="127">
        <v>128215</v>
      </c>
      <c r="D4" s="127">
        <v>104612</v>
      </c>
      <c r="E4" s="127">
        <v>118169</v>
      </c>
      <c r="F4" s="127">
        <v>104572</v>
      </c>
    </row>
    <row r="5" spans="1:13">
      <c r="A5" s="119" t="s">
        <v>149</v>
      </c>
      <c r="B5" s="127">
        <v>0</v>
      </c>
      <c r="C5" s="127">
        <v>7230</v>
      </c>
      <c r="D5" s="127">
        <v>-2399</v>
      </c>
      <c r="E5" s="127">
        <v>-15700</v>
      </c>
      <c r="F5" s="127">
        <v>-17636</v>
      </c>
    </row>
    <row r="6" spans="1:13">
      <c r="A6" s="120" t="s">
        <v>150</v>
      </c>
      <c r="B6" s="127">
        <v>-228495</v>
      </c>
      <c r="C6" s="127">
        <v>-15293</v>
      </c>
      <c r="D6" s="127">
        <v>5698</v>
      </c>
      <c r="E6" s="127">
        <v>-53952</v>
      </c>
      <c r="F6" s="127">
        <v>-33014</v>
      </c>
    </row>
    <row r="7" spans="1:13">
      <c r="A7" s="120" t="s">
        <v>141</v>
      </c>
      <c r="B7" s="127">
        <v>803208</v>
      </c>
      <c r="C7" s="127">
        <v>889137</v>
      </c>
      <c r="D7" s="127">
        <v>710650</v>
      </c>
      <c r="E7" s="127">
        <v>609626</v>
      </c>
      <c r="F7" s="127">
        <v>566533</v>
      </c>
    </row>
    <row r="8" spans="1:13">
      <c r="A8" s="120" t="s">
        <v>158</v>
      </c>
      <c r="B8" s="127">
        <v>55859</v>
      </c>
      <c r="C8" s="127">
        <v>19688</v>
      </c>
      <c r="D8" s="127">
        <v>14049</v>
      </c>
      <c r="E8" s="127">
        <v>-6176</v>
      </c>
      <c r="F8" s="127">
        <v>-1528</v>
      </c>
    </row>
    <row r="9" spans="1:13" s="55" customFormat="1">
      <c r="A9" s="179" t="s">
        <v>196</v>
      </c>
      <c r="B9" s="149">
        <v>859067</v>
      </c>
      <c r="C9" s="149">
        <v>908825</v>
      </c>
      <c r="D9" s="149">
        <v>724699</v>
      </c>
      <c r="E9" s="149">
        <v>603450</v>
      </c>
      <c r="F9" s="149">
        <v>565005</v>
      </c>
    </row>
    <row r="10" spans="1:13" ht="31.5">
      <c r="A10" s="121" t="s">
        <v>151</v>
      </c>
      <c r="B10" s="127">
        <v>-139395</v>
      </c>
      <c r="C10" s="127">
        <v>-314108</v>
      </c>
      <c r="D10" s="127">
        <v>-100360</v>
      </c>
      <c r="E10" s="127">
        <v>-99083</v>
      </c>
      <c r="F10" s="127">
        <v>-138944</v>
      </c>
    </row>
    <row r="11" spans="1:13" s="55" customFormat="1">
      <c r="A11" s="179" t="s">
        <v>142</v>
      </c>
      <c r="B11" s="149">
        <v>-139395</v>
      </c>
      <c r="C11" s="149">
        <v>-314108</v>
      </c>
      <c r="D11" s="149">
        <v>-100360</v>
      </c>
      <c r="E11" s="149">
        <v>-99083</v>
      </c>
      <c r="F11" s="149">
        <v>-138944</v>
      </c>
    </row>
    <row r="12" spans="1:13">
      <c r="A12" s="114" t="s">
        <v>152</v>
      </c>
      <c r="B12" s="127">
        <v>359858</v>
      </c>
      <c r="C12" s="127">
        <v>391973</v>
      </c>
      <c r="D12" s="127">
        <v>5171</v>
      </c>
      <c r="E12" s="127">
        <v>258297</v>
      </c>
      <c r="F12" s="127">
        <v>64291</v>
      </c>
    </row>
    <row r="13" spans="1:13">
      <c r="A13" s="122" t="s">
        <v>153</v>
      </c>
      <c r="B13" s="127">
        <v>-1066782</v>
      </c>
      <c r="C13" s="127">
        <v>-979535</v>
      </c>
      <c r="D13" s="127">
        <v>-748279</v>
      </c>
      <c r="E13" s="127">
        <v>-727418</v>
      </c>
      <c r="F13" s="127">
        <v>-450399</v>
      </c>
    </row>
    <row r="14" spans="1:13">
      <c r="A14" s="122" t="s">
        <v>154</v>
      </c>
      <c r="B14" s="127">
        <v>-9115</v>
      </c>
      <c r="C14" s="127">
        <v>-2987</v>
      </c>
      <c r="D14" s="127">
        <v>-800</v>
      </c>
      <c r="E14" s="127">
        <v>-8247</v>
      </c>
      <c r="F14" s="127">
        <v>-1914</v>
      </c>
    </row>
    <row r="15" spans="1:13" s="55" customFormat="1">
      <c r="A15" s="179" t="s">
        <v>143</v>
      </c>
      <c r="B15" s="149">
        <v>-716039</v>
      </c>
      <c r="C15" s="149">
        <v>-590549</v>
      </c>
      <c r="D15" s="149">
        <v>-743908</v>
      </c>
      <c r="E15" s="149">
        <v>-477368</v>
      </c>
      <c r="F15" s="149">
        <v>-388022</v>
      </c>
    </row>
    <row r="16" spans="1:13">
      <c r="A16" s="120" t="s">
        <v>144</v>
      </c>
      <c r="B16" s="127">
        <v>98564</v>
      </c>
      <c r="C16" s="127">
        <v>94254</v>
      </c>
      <c r="D16" s="127">
        <v>207785</v>
      </c>
      <c r="E16" s="127">
        <v>178110</v>
      </c>
      <c r="F16" s="127">
        <v>148687</v>
      </c>
    </row>
    <row r="17" spans="1:6">
      <c r="A17" s="120" t="s">
        <v>145</v>
      </c>
      <c r="B17" s="127">
        <v>95966</v>
      </c>
      <c r="C17" s="127">
        <v>98564</v>
      </c>
      <c r="D17" s="127">
        <v>94254</v>
      </c>
      <c r="E17" s="127">
        <v>207785</v>
      </c>
      <c r="F17" s="127">
        <v>178110</v>
      </c>
    </row>
    <row r="18" spans="1:6">
      <c r="A18" s="120" t="s">
        <v>146</v>
      </c>
      <c r="B18" s="127">
        <v>52314</v>
      </c>
      <c r="C18" s="127">
        <v>41338</v>
      </c>
      <c r="D18" s="127">
        <v>37772</v>
      </c>
      <c r="E18" s="127">
        <v>37499</v>
      </c>
      <c r="F18" s="127">
        <v>34451</v>
      </c>
    </row>
    <row r="19" spans="1:6">
      <c r="A19" s="120" t="s">
        <v>147</v>
      </c>
      <c r="B19" s="127">
        <v>114038</v>
      </c>
      <c r="C19" s="127">
        <v>152657</v>
      </c>
      <c r="D19" s="127">
        <v>134674</v>
      </c>
      <c r="E19" s="127">
        <v>129347</v>
      </c>
      <c r="F19" s="127">
        <v>132410</v>
      </c>
    </row>
  </sheetData>
  <dataValidations count="1">
    <dataValidation type="list" allowBlank="1" showInputMessage="1" showErrorMessage="1" sqref="A3" xr:uid="{6F269983-BB3F-4372-8508-2CEC37157871}">
      <formula1>$A$54:$A$70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297BB-D9B7-42DE-A4A2-52EC88B1B8E8}">
  <dimension ref="A1:P72"/>
  <sheetViews>
    <sheetView topLeftCell="I55" workbookViewId="0">
      <selection activeCell="K50" sqref="K50"/>
    </sheetView>
  </sheetViews>
  <sheetFormatPr defaultRowHeight="15.75"/>
  <cols>
    <col min="1" max="1" width="62" style="2" bestFit="1" customWidth="1"/>
    <col min="2" max="4" width="13.42578125" style="2" bestFit="1" customWidth="1"/>
    <col min="5" max="6" width="12" style="2" bestFit="1" customWidth="1"/>
    <col min="7" max="9" width="9.140625" style="2"/>
    <col min="10" max="10" width="78.5703125" style="2" bestFit="1" customWidth="1"/>
    <col min="11" max="15" width="11.5703125" style="2" bestFit="1" customWidth="1"/>
    <col min="16" max="16384" width="9.140625" style="2"/>
  </cols>
  <sheetData>
    <row r="1" spans="1:16">
      <c r="A1" s="94" t="s">
        <v>198</v>
      </c>
      <c r="B1" s="94" t="s">
        <v>15</v>
      </c>
      <c r="C1" s="94" t="s">
        <v>14</v>
      </c>
      <c r="D1" s="94" t="s">
        <v>13</v>
      </c>
      <c r="E1" s="94" t="s">
        <v>12</v>
      </c>
      <c r="F1" s="94" t="s">
        <v>11</v>
      </c>
      <c r="J1" s="94" t="s">
        <v>313</v>
      </c>
      <c r="K1" s="94" t="s">
        <v>15</v>
      </c>
      <c r="L1" s="94" t="s">
        <v>14</v>
      </c>
      <c r="M1" s="94" t="s">
        <v>13</v>
      </c>
      <c r="N1" s="94" t="s">
        <v>12</v>
      </c>
      <c r="O1" s="94" t="s">
        <v>11</v>
      </c>
    </row>
    <row r="2" spans="1:16">
      <c r="A2" s="112"/>
      <c r="B2" s="109"/>
      <c r="C2" s="109"/>
      <c r="D2" s="109"/>
      <c r="E2" s="109"/>
      <c r="F2" s="109"/>
      <c r="J2" s="109"/>
      <c r="K2" s="109"/>
      <c r="L2" s="109"/>
      <c r="M2" s="109"/>
      <c r="N2" s="109"/>
      <c r="O2" s="109"/>
    </row>
    <row r="3" spans="1:16">
      <c r="A3" s="130" t="s">
        <v>165</v>
      </c>
      <c r="B3" s="129">
        <f>K3</f>
        <v>3919709</v>
      </c>
      <c r="C3" s="129">
        <f>L3</f>
        <v>3717930</v>
      </c>
      <c r="D3" s="129">
        <f>M3</f>
        <v>3085177</v>
      </c>
      <c r="E3" s="129">
        <f>N3</f>
        <v>3008652</v>
      </c>
      <c r="F3" s="129">
        <f>O3</f>
        <v>2935586</v>
      </c>
      <c r="J3" s="131" t="s">
        <v>165</v>
      </c>
      <c r="K3" s="149">
        <f>VLOOKUP(J3:J12,'Standardized Income Statement'!A1:F12,2,FALSE)</f>
        <v>3919709</v>
      </c>
      <c r="L3" s="149">
        <f>VLOOKUP(K3:K12,'Standardized Income Statement'!B1:G12,2,FALSE)</f>
        <v>3717930</v>
      </c>
      <c r="M3" s="149">
        <f>VLOOKUP(L3:L12,'Standardized Income Statement'!C1:H12,2,FALSE)</f>
        <v>3085177</v>
      </c>
      <c r="N3" s="149">
        <f>VLOOKUP(M3:M12,'Standardized Income Statement'!D1:I12,2,FALSE)</f>
        <v>3008652</v>
      </c>
      <c r="O3" s="149">
        <f>VLOOKUP(N3:N12,'Standardized Income Statement'!E1:J12,2,FALSE)</f>
        <v>2935586</v>
      </c>
    </row>
    <row r="4" spans="1:16">
      <c r="A4" s="130" t="s">
        <v>199</v>
      </c>
      <c r="B4" s="126">
        <f>B8</f>
        <v>1015085.21</v>
      </c>
      <c r="C4" s="126">
        <f t="shared" ref="C4:F4" si="0">C8</f>
        <v>905646.63</v>
      </c>
      <c r="D4" s="126">
        <f t="shared" si="0"/>
        <v>715521.11</v>
      </c>
      <c r="E4" s="126">
        <f t="shared" si="0"/>
        <v>676988.75</v>
      </c>
      <c r="F4" s="126">
        <f t="shared" si="0"/>
        <v>607173.15500000003</v>
      </c>
      <c r="J4" s="132" t="s">
        <v>170</v>
      </c>
      <c r="K4" s="127">
        <f>K18</f>
        <v>-2671995</v>
      </c>
      <c r="L4" s="127">
        <f t="shared" ref="L4:O4" si="1">L18</f>
        <v>-2598803</v>
      </c>
      <c r="M4" s="127">
        <f t="shared" si="1"/>
        <v>-2196332</v>
      </c>
      <c r="N4" s="127">
        <f t="shared" si="1"/>
        <v>-2183308</v>
      </c>
      <c r="O4" s="127">
        <f t="shared" si="1"/>
        <v>-2161657</v>
      </c>
    </row>
    <row r="5" spans="1:16">
      <c r="A5" s="133" t="s">
        <v>200</v>
      </c>
      <c r="B5" s="128">
        <v>872502</v>
      </c>
      <c r="C5" s="128">
        <v>768985</v>
      </c>
      <c r="D5" s="128">
        <v>602739</v>
      </c>
      <c r="E5" s="128">
        <v>561109</v>
      </c>
      <c r="F5" s="128">
        <v>493611</v>
      </c>
      <c r="J5" s="134" t="s">
        <v>171</v>
      </c>
      <c r="K5" s="149">
        <f>K3+K4</f>
        <v>1247714</v>
      </c>
      <c r="L5" s="149">
        <f t="shared" ref="L5:O5" si="2">L3+L4</f>
        <v>1119127</v>
      </c>
      <c r="M5" s="149">
        <f t="shared" si="2"/>
        <v>888845</v>
      </c>
      <c r="N5" s="149">
        <f t="shared" si="2"/>
        <v>825344</v>
      </c>
      <c r="O5" s="149">
        <f t="shared" si="2"/>
        <v>773929</v>
      </c>
    </row>
    <row r="6" spans="1:16">
      <c r="A6" s="135" t="s">
        <v>201</v>
      </c>
      <c r="B6" s="109">
        <v>0</v>
      </c>
      <c r="C6" s="109">
        <v>0</v>
      </c>
      <c r="D6" s="109">
        <v>0</v>
      </c>
      <c r="E6" s="109">
        <v>0</v>
      </c>
      <c r="F6" s="109">
        <v>0</v>
      </c>
      <c r="J6" s="136" t="s">
        <v>172</v>
      </c>
      <c r="K6" s="127">
        <v>0</v>
      </c>
      <c r="L6" s="127">
        <v>0</v>
      </c>
      <c r="M6" s="127">
        <v>0</v>
      </c>
      <c r="N6" s="127">
        <v>0</v>
      </c>
      <c r="O6" s="127">
        <v>0</v>
      </c>
    </row>
    <row r="7" spans="1:16">
      <c r="A7" s="135" t="s">
        <v>202</v>
      </c>
      <c r="B7" s="125">
        <f>B20</f>
        <v>142583.21</v>
      </c>
      <c r="C7" s="125">
        <f>C20</f>
        <v>136661.62999999998</v>
      </c>
      <c r="D7" s="125">
        <f>D20</f>
        <v>112782.10999999999</v>
      </c>
      <c r="E7" s="125">
        <f>E20</f>
        <v>115879.74999999999</v>
      </c>
      <c r="F7" s="125">
        <f>F20</f>
        <v>113562.15499999998</v>
      </c>
      <c r="J7" s="109" t="s">
        <v>169</v>
      </c>
      <c r="K7" s="127">
        <f>VLOOKUP(J3:J12,'Standardized Income Statement'!A1:F12,2,FALSE)</f>
        <v>177122</v>
      </c>
      <c r="L7" s="127">
        <f>VLOOKUP(K3:K12,'Standardized Income Statement'!B1:G12,2,FALSE)</f>
        <v>169766</v>
      </c>
      <c r="M7" s="127">
        <f>VLOOKUP(L3:L12,'Standardized Income Statement'!C1:H12,2,FALSE)</f>
        <v>140102</v>
      </c>
      <c r="N7" s="127">
        <f>VLOOKUP(M3:M12,'Standardized Income Statement'!D1:I12,2,FALSE)</f>
        <v>143950</v>
      </c>
      <c r="O7" s="127">
        <f>VLOOKUP(N3:N12,'Standardized Income Statement'!E1:J12,2,FALSE)</f>
        <v>141071</v>
      </c>
    </row>
    <row r="8" spans="1:16">
      <c r="A8" s="137" t="s">
        <v>203</v>
      </c>
      <c r="B8" s="126">
        <f>SUM(B5:B7)</f>
        <v>1015085.21</v>
      </c>
      <c r="C8" s="126">
        <f t="shared" ref="C8:F8" si="3">SUM(C5:C7)</f>
        <v>905646.63</v>
      </c>
      <c r="D8" s="126">
        <f t="shared" si="3"/>
        <v>715521.11</v>
      </c>
      <c r="E8" s="126">
        <f t="shared" si="3"/>
        <v>676988.75</v>
      </c>
      <c r="F8" s="126">
        <f t="shared" si="3"/>
        <v>607173.15500000003</v>
      </c>
      <c r="J8" s="134" t="s">
        <v>173</v>
      </c>
      <c r="K8" s="149">
        <f>K5-K6-K7</f>
        <v>1070592</v>
      </c>
      <c r="L8" s="149">
        <f t="shared" ref="L8:O8" si="4">L5-L6-L7</f>
        <v>949361</v>
      </c>
      <c r="M8" s="149">
        <f t="shared" si="4"/>
        <v>748743</v>
      </c>
      <c r="N8" s="149">
        <f t="shared" si="4"/>
        <v>681394</v>
      </c>
      <c r="O8" s="149">
        <f t="shared" si="4"/>
        <v>632858</v>
      </c>
      <c r="P8" s="138"/>
    </row>
    <row r="9" spans="1:16">
      <c r="A9" s="130" t="s">
        <v>204</v>
      </c>
      <c r="B9" s="112">
        <f>B12</f>
        <v>0</v>
      </c>
      <c r="C9" s="112">
        <f t="shared" ref="C9:F9" si="5">C12</f>
        <v>0</v>
      </c>
      <c r="D9" s="112">
        <f t="shared" si="5"/>
        <v>0</v>
      </c>
      <c r="E9" s="112">
        <f t="shared" si="5"/>
        <v>0</v>
      </c>
      <c r="F9" s="112">
        <f t="shared" si="5"/>
        <v>0</v>
      </c>
      <c r="J9" s="132" t="s">
        <v>130</v>
      </c>
      <c r="K9" s="127">
        <f>VLOOKUP(J3:J12,'Standardized Income Statement'!A1:F12,2,FALSE)</f>
        <v>198090</v>
      </c>
      <c r="L9" s="127">
        <f>VLOOKUP(K3:K12,'Standardized Income Statement'!B1:G12,2,FALSE)</f>
        <v>180376</v>
      </c>
      <c r="M9" s="127">
        <f>VLOOKUP(L3:L12,'Standardized Income Statement'!C1:H12,2,FALSE)</f>
        <v>146004</v>
      </c>
      <c r="N9" s="127">
        <f>VLOOKUP(M3:M12,'Standardized Income Statement'!D1:I12,2,FALSE)</f>
        <v>120285</v>
      </c>
      <c r="O9" s="127">
        <f>VLOOKUP(N3:N12,'Standardized Income Statement'!E1:J12,2,FALSE)</f>
        <v>139247</v>
      </c>
    </row>
    <row r="10" spans="1:16">
      <c r="A10" s="133" t="s">
        <v>205</v>
      </c>
      <c r="B10" s="109">
        <v>0</v>
      </c>
      <c r="C10" s="109">
        <v>0</v>
      </c>
      <c r="D10" s="109">
        <v>0</v>
      </c>
      <c r="E10" s="109">
        <v>0</v>
      </c>
      <c r="F10" s="109">
        <v>0</v>
      </c>
      <c r="J10" s="134" t="s">
        <v>174</v>
      </c>
      <c r="K10" s="149">
        <f>K8-K9</f>
        <v>872502</v>
      </c>
      <c r="L10" s="149">
        <f t="shared" ref="L10:O10" si="6">L8-L9</f>
        <v>768985</v>
      </c>
      <c r="M10" s="149">
        <f t="shared" si="6"/>
        <v>602739</v>
      </c>
      <c r="N10" s="149">
        <f t="shared" si="6"/>
        <v>561109</v>
      </c>
      <c r="O10" s="149">
        <f t="shared" si="6"/>
        <v>493611</v>
      </c>
    </row>
    <row r="11" spans="1:16">
      <c r="A11" s="133" t="s">
        <v>206</v>
      </c>
      <c r="B11" s="109">
        <f>(1-0.195)</f>
        <v>0.80499999999999994</v>
      </c>
      <c r="C11" s="109">
        <f>(1-0.195)</f>
        <v>0.80499999999999994</v>
      </c>
      <c r="D11" s="109">
        <f>(1-0.195)</f>
        <v>0.80499999999999994</v>
      </c>
      <c r="E11" s="109">
        <f>(1-0.195)</f>
        <v>0.80499999999999994</v>
      </c>
      <c r="F11" s="109">
        <f>(1-0.195)</f>
        <v>0.80499999999999994</v>
      </c>
      <c r="J11" s="134" t="s">
        <v>175</v>
      </c>
      <c r="K11" s="149">
        <v>872502</v>
      </c>
      <c r="L11" s="149">
        <v>768985</v>
      </c>
      <c r="M11" s="149">
        <v>602739</v>
      </c>
      <c r="N11" s="149">
        <v>561109</v>
      </c>
      <c r="O11" s="149">
        <v>493611</v>
      </c>
    </row>
    <row r="12" spans="1:16">
      <c r="A12" s="137" t="s">
        <v>207</v>
      </c>
      <c r="B12" s="112">
        <f>B10*B11</f>
        <v>0</v>
      </c>
      <c r="C12" s="112">
        <f t="shared" ref="C12:F12" si="7">C10*C11</f>
        <v>0</v>
      </c>
      <c r="D12" s="112">
        <f t="shared" si="7"/>
        <v>0</v>
      </c>
      <c r="E12" s="112">
        <f t="shared" si="7"/>
        <v>0</v>
      </c>
      <c r="F12" s="112">
        <f t="shared" si="7"/>
        <v>0</v>
      </c>
    </row>
    <row r="13" spans="1:16">
      <c r="A13" s="139" t="s">
        <v>208</v>
      </c>
      <c r="B13" s="112">
        <f>B16</f>
        <v>0</v>
      </c>
      <c r="C13" s="112">
        <f>C16</f>
        <v>0</v>
      </c>
      <c r="D13" s="112">
        <f>D16</f>
        <v>0</v>
      </c>
      <c r="E13" s="112">
        <f>E16</f>
        <v>0</v>
      </c>
      <c r="F13" s="112">
        <f>F16</f>
        <v>0</v>
      </c>
      <c r="J13" s="112" t="s">
        <v>176</v>
      </c>
      <c r="K13" s="109"/>
      <c r="L13" s="109"/>
      <c r="M13" s="109"/>
      <c r="N13" s="109"/>
      <c r="O13" s="109"/>
    </row>
    <row r="14" spans="1:16">
      <c r="A14" s="133" t="s">
        <v>209</v>
      </c>
      <c r="B14" s="109">
        <v>0</v>
      </c>
      <c r="C14" s="109">
        <v>0</v>
      </c>
      <c r="D14" s="109">
        <v>0</v>
      </c>
      <c r="E14" s="109">
        <v>0</v>
      </c>
      <c r="F14" s="109">
        <v>0</v>
      </c>
      <c r="J14" s="110" t="s">
        <v>177</v>
      </c>
      <c r="K14" s="109"/>
      <c r="L14" s="109"/>
      <c r="M14" s="109"/>
      <c r="N14" s="109"/>
      <c r="O14" s="109"/>
    </row>
    <row r="15" spans="1:16">
      <c r="A15" s="133" t="s">
        <v>206</v>
      </c>
      <c r="B15" s="109">
        <f>(1-0.195)</f>
        <v>0.80499999999999994</v>
      </c>
      <c r="C15" s="109">
        <f>(1-0.195)</f>
        <v>0.80499999999999994</v>
      </c>
      <c r="D15" s="109">
        <f>(1-0.195)</f>
        <v>0.80499999999999994</v>
      </c>
      <c r="E15" s="109">
        <f>(1-0.195)</f>
        <v>0.80499999999999994</v>
      </c>
      <c r="F15" s="109">
        <f>(1-0.195)</f>
        <v>0.80499999999999994</v>
      </c>
      <c r="J15" s="133" t="s">
        <v>166</v>
      </c>
      <c r="K15" s="127">
        <v>-1611667</v>
      </c>
      <c r="L15" s="127">
        <v>-1546377</v>
      </c>
      <c r="M15" s="127">
        <v>-1284146</v>
      </c>
      <c r="N15" s="127">
        <v>-1267441</v>
      </c>
      <c r="O15" s="127">
        <v>-1251208</v>
      </c>
    </row>
    <row r="16" spans="1:16">
      <c r="A16" s="137" t="s">
        <v>210</v>
      </c>
      <c r="B16" s="109">
        <f>B14*B15</f>
        <v>0</v>
      </c>
      <c r="C16" s="109">
        <f t="shared" ref="C16:F16" si="8">C14*C15</f>
        <v>0</v>
      </c>
      <c r="D16" s="109">
        <f t="shared" si="8"/>
        <v>0</v>
      </c>
      <c r="E16" s="109">
        <f t="shared" si="8"/>
        <v>0</v>
      </c>
      <c r="F16" s="109">
        <f t="shared" si="8"/>
        <v>0</v>
      </c>
      <c r="J16" s="133" t="s">
        <v>167</v>
      </c>
      <c r="K16" s="127">
        <v>-938461</v>
      </c>
      <c r="L16" s="127">
        <v>-943976</v>
      </c>
      <c r="M16" s="127">
        <v>-820221</v>
      </c>
      <c r="N16" s="127">
        <v>-819183</v>
      </c>
      <c r="O16" s="127">
        <v>-812802</v>
      </c>
    </row>
    <row r="17" spans="1:15">
      <c r="A17" s="130" t="s">
        <v>211</v>
      </c>
      <c r="B17" s="126">
        <f>B20</f>
        <v>142583.21</v>
      </c>
      <c r="C17" s="126">
        <f>C20</f>
        <v>136661.62999999998</v>
      </c>
      <c r="D17" s="126">
        <f>D20</f>
        <v>112782.10999999999</v>
      </c>
      <c r="E17" s="126">
        <f>E20</f>
        <v>115879.74999999999</v>
      </c>
      <c r="F17" s="126">
        <f>F20</f>
        <v>113562.15499999998</v>
      </c>
      <c r="J17" s="133" t="s">
        <v>168</v>
      </c>
      <c r="K17" s="127">
        <v>-121867</v>
      </c>
      <c r="L17" s="127">
        <v>-108450</v>
      </c>
      <c r="M17" s="127">
        <v>-91965</v>
      </c>
      <c r="N17" s="127">
        <v>-96684</v>
      </c>
      <c r="O17" s="127">
        <v>-97647</v>
      </c>
    </row>
    <row r="18" spans="1:15">
      <c r="A18" s="133" t="s">
        <v>212</v>
      </c>
      <c r="B18" s="128">
        <f>K7</f>
        <v>177122</v>
      </c>
      <c r="C18" s="128">
        <f>L7</f>
        <v>169766</v>
      </c>
      <c r="D18" s="128">
        <f>M7</f>
        <v>140102</v>
      </c>
      <c r="E18" s="128">
        <f>N7</f>
        <v>143950</v>
      </c>
      <c r="F18" s="128">
        <f>O7</f>
        <v>141071</v>
      </c>
      <c r="J18" s="112" t="s">
        <v>322</v>
      </c>
      <c r="K18" s="149">
        <f>SUM(K15:K17)</f>
        <v>-2671995</v>
      </c>
      <c r="L18" s="149">
        <f t="shared" ref="L18:O18" si="9">SUM(L15:L17)</f>
        <v>-2598803</v>
      </c>
      <c r="M18" s="149">
        <f t="shared" si="9"/>
        <v>-2196332</v>
      </c>
      <c r="N18" s="149">
        <f t="shared" si="9"/>
        <v>-2183308</v>
      </c>
      <c r="O18" s="149">
        <f t="shared" si="9"/>
        <v>-2161657</v>
      </c>
    </row>
    <row r="19" spans="1:15">
      <c r="A19" s="133" t="s">
        <v>206</v>
      </c>
      <c r="B19" s="109">
        <f>(1-0.195)</f>
        <v>0.80499999999999994</v>
      </c>
      <c r="C19" s="109">
        <f>(1-0.195)</f>
        <v>0.80499999999999994</v>
      </c>
      <c r="D19" s="109">
        <f>(1-0.195)</f>
        <v>0.80499999999999994</v>
      </c>
      <c r="E19" s="109">
        <f>(1-0.195)</f>
        <v>0.80499999999999994</v>
      </c>
      <c r="F19" s="109">
        <f>(1-0.195)</f>
        <v>0.80499999999999994</v>
      </c>
      <c r="J19" s="141"/>
      <c r="K19" s="142"/>
      <c r="L19" s="142"/>
      <c r="M19" s="142"/>
      <c r="N19" s="142"/>
      <c r="O19" s="142"/>
    </row>
    <row r="20" spans="1:15">
      <c r="A20" s="137" t="s">
        <v>213</v>
      </c>
      <c r="B20" s="126">
        <f>B18*B19</f>
        <v>142583.21</v>
      </c>
      <c r="C20" s="126">
        <f t="shared" ref="C20:F20" si="10">C18*C19</f>
        <v>136661.62999999998</v>
      </c>
      <c r="D20" s="126">
        <f t="shared" si="10"/>
        <v>112782.10999999999</v>
      </c>
      <c r="E20" s="126">
        <f t="shared" si="10"/>
        <v>115879.74999999999</v>
      </c>
      <c r="F20" s="126">
        <f t="shared" si="10"/>
        <v>113562.15499999998</v>
      </c>
      <c r="J20" s="94" t="s">
        <v>314</v>
      </c>
      <c r="K20" s="94" t="s">
        <v>15</v>
      </c>
      <c r="L20" s="94" t="s">
        <v>14</v>
      </c>
      <c r="M20" s="94" t="s">
        <v>13</v>
      </c>
      <c r="N20" s="94" t="s">
        <v>12</v>
      </c>
      <c r="O20" s="94" t="s">
        <v>11</v>
      </c>
    </row>
    <row r="21" spans="1:15">
      <c r="A21" s="130" t="s">
        <v>214</v>
      </c>
      <c r="B21" s="129">
        <f>B8+B13-B17</f>
        <v>872502</v>
      </c>
      <c r="C21" s="129">
        <f t="shared" ref="C21:F21" si="11">C8+C13-C17</f>
        <v>768985</v>
      </c>
      <c r="D21" s="129">
        <f t="shared" si="11"/>
        <v>602739</v>
      </c>
      <c r="E21" s="129">
        <f t="shared" si="11"/>
        <v>561109</v>
      </c>
      <c r="F21" s="129">
        <f t="shared" si="11"/>
        <v>493611.00000000006</v>
      </c>
      <c r="J21" s="152" t="s">
        <v>46</v>
      </c>
      <c r="K21" s="109"/>
      <c r="L21" s="109"/>
      <c r="M21" s="109"/>
      <c r="N21" s="109"/>
      <c r="O21" s="109"/>
    </row>
    <row r="22" spans="1:15">
      <c r="J22" s="40" t="s">
        <v>48</v>
      </c>
      <c r="K22" s="128">
        <f>VLOOKUP(J22:J47,'Standardized Balance Sheet'!A1:F24,2,FALSE)</f>
        <v>95966</v>
      </c>
      <c r="L22" s="128">
        <f>VLOOKUP(K22:K47,'Standardized Balance Sheet'!B1:G24,2,FALSE)</f>
        <v>98564</v>
      </c>
      <c r="M22" s="128">
        <f>VLOOKUP(L22:L47,'Standardized Balance Sheet'!C1:H24,2,FALSE)</f>
        <v>94254</v>
      </c>
      <c r="N22" s="128">
        <f>VLOOKUP(M22:M47,'Standardized Balance Sheet'!D1:I24,2,FALSE)</f>
        <v>207785</v>
      </c>
      <c r="O22" s="128">
        <f>VLOOKUP(N22:N47,'Standardized Balance Sheet'!E1:J24,2,FALSE)</f>
        <v>178110</v>
      </c>
    </row>
    <row r="23" spans="1:15">
      <c r="A23" s="94" t="s">
        <v>315</v>
      </c>
      <c r="B23" s="94" t="s">
        <v>15</v>
      </c>
      <c r="C23" s="94" t="s">
        <v>14</v>
      </c>
      <c r="D23" s="94" t="s">
        <v>13</v>
      </c>
      <c r="E23" s="94" t="s">
        <v>12</v>
      </c>
      <c r="F23" s="94" t="s">
        <v>11</v>
      </c>
      <c r="J23" s="40" t="s">
        <v>132</v>
      </c>
      <c r="K23" s="128">
        <f>VLOOKUP(J23:J48,'Standardized Balance Sheet'!A2:F25,2,FALSE)</f>
        <v>709321</v>
      </c>
      <c r="L23" s="128">
        <f>VLOOKUP(K23:K48,'Standardized Balance Sheet'!B2:G25,2,FALSE)</f>
        <v>647335</v>
      </c>
      <c r="M23" s="128">
        <f>VLOOKUP(L23:L48,'Standardized Balance Sheet'!C2:H25,2,FALSE)</f>
        <v>593809</v>
      </c>
      <c r="N23" s="128">
        <f>VLOOKUP(M23:M48,'Standardized Balance Sheet'!D2:I25,2,FALSE)</f>
        <v>566256</v>
      </c>
      <c r="O23" s="128">
        <f>VLOOKUP(N23:N48,'Standardized Balance Sheet'!E2:J25,2,FALSE)</f>
        <v>535528</v>
      </c>
    </row>
    <row r="24" spans="1:15">
      <c r="A24" s="130" t="s">
        <v>312</v>
      </c>
      <c r="B24" s="145">
        <v>7.0000000000000007E-2</v>
      </c>
      <c r="C24" s="145">
        <v>7.0000000000000007E-2</v>
      </c>
      <c r="D24" s="145">
        <v>7.0000000000000007E-2</v>
      </c>
      <c r="E24" s="145">
        <v>7.0000000000000007E-2</v>
      </c>
      <c r="F24" s="145">
        <v>7.0000000000000007E-2</v>
      </c>
      <c r="J24" s="33" t="s">
        <v>50</v>
      </c>
      <c r="K24" s="128">
        <f>VLOOKUP(J24:J49,'Standardized Balance Sheet'!A3:F26,2,FALSE)</f>
        <v>441694</v>
      </c>
      <c r="L24" s="128">
        <f>VLOOKUP(K24:K49,'Standardized Balance Sheet'!B3:G26,2,FALSE)</f>
        <v>414543</v>
      </c>
      <c r="M24" s="128">
        <f>VLOOKUP(L24:L49,'Standardized Balance Sheet'!C3:H26,2,FALSE)</f>
        <v>297611</v>
      </c>
      <c r="N24" s="128">
        <f>VLOOKUP(M24:M49,'Standardized Balance Sheet'!D3:I26,2,FALSE)</f>
        <v>274285</v>
      </c>
      <c r="O24" s="128">
        <f>VLOOKUP(N24:N49,'Standardized Balance Sheet'!E3:J26,2,FALSE)</f>
        <v>268821</v>
      </c>
    </row>
    <row r="25" spans="1:15">
      <c r="A25" s="109"/>
      <c r="B25" s="109"/>
      <c r="C25" s="109"/>
      <c r="D25" s="109"/>
      <c r="E25" s="109"/>
      <c r="F25" s="109"/>
      <c r="J25" s="33" t="s">
        <v>140</v>
      </c>
      <c r="K25" s="128">
        <f>VLOOKUP(J25:J50,'Standardized Balance Sheet'!A4:F27,2,FALSE)</f>
        <v>128108</v>
      </c>
      <c r="L25" s="128">
        <f>VLOOKUP(K25:K50,'Standardized Balance Sheet'!B4:G27,2,FALSE)</f>
        <v>108916</v>
      </c>
      <c r="M25" s="128">
        <f>VLOOKUP(L25:L50,'Standardized Balance Sheet'!C4:H27,2,FALSE)</f>
        <v>71230</v>
      </c>
      <c r="N25" s="128">
        <f>VLOOKUP(M25:M50,'Standardized Balance Sheet'!D4:I27,2,FALSE)</f>
        <v>61321</v>
      </c>
      <c r="O25" s="128">
        <f>VLOOKUP(N25:N50,'Standardized Balance Sheet'!E4:J27,2,FALSE)</f>
        <v>63401</v>
      </c>
    </row>
    <row r="26" spans="1:15">
      <c r="A26" s="130" t="s">
        <v>215</v>
      </c>
      <c r="B26" s="109"/>
      <c r="C26" s="109"/>
      <c r="D26" s="109"/>
      <c r="E26" s="109"/>
      <c r="F26" s="109"/>
      <c r="J26" s="29" t="s">
        <v>137</v>
      </c>
      <c r="K26" s="129">
        <f>VLOOKUP(J26:J51,'Standardized Balance Sheet'!A5:F28,2,FALSE)</f>
        <v>1375089</v>
      </c>
      <c r="L26" s="129">
        <f>VLOOKUP(K26:K51,'Standardized Balance Sheet'!B5:G28,2,FALSE)</f>
        <v>1269358</v>
      </c>
      <c r="M26" s="129">
        <f>VLOOKUP(L26:L51,'Standardized Balance Sheet'!C5:H28,2,FALSE)</f>
        <v>1056904</v>
      </c>
      <c r="N26" s="129">
        <f>VLOOKUP(M26:M51,'Standardized Balance Sheet'!D5:I28,2,FALSE)</f>
        <v>1109647</v>
      </c>
      <c r="O26" s="129">
        <f>VLOOKUP(N26:N51,'Standardized Balance Sheet'!E5:J28,2,FALSE)</f>
        <v>1045860</v>
      </c>
    </row>
    <row r="27" spans="1:15">
      <c r="A27" s="133" t="s">
        <v>216</v>
      </c>
      <c r="B27" s="148">
        <f>K3*B24</f>
        <v>274379.63</v>
      </c>
      <c r="C27" s="148">
        <f>L3*C24</f>
        <v>260255.10000000003</v>
      </c>
      <c r="D27" s="148">
        <f>M3*D24</f>
        <v>215962.39</v>
      </c>
      <c r="E27" s="148">
        <f>N3*E24</f>
        <v>210605.64</v>
      </c>
      <c r="F27" s="148">
        <f>O3*F24</f>
        <v>205491.02000000002</v>
      </c>
      <c r="J27" s="33"/>
      <c r="K27" s="128"/>
      <c r="L27" s="128"/>
      <c r="M27" s="128"/>
      <c r="N27" s="128"/>
      <c r="O27" s="128"/>
    </row>
    <row r="28" spans="1:15">
      <c r="A28" s="135" t="s">
        <v>217</v>
      </c>
      <c r="B28" s="127">
        <f>K23</f>
        <v>709321</v>
      </c>
      <c r="C28" s="127">
        <f t="shared" ref="B28:F30" si="12">L23</f>
        <v>647335</v>
      </c>
      <c r="D28" s="127">
        <f t="shared" si="12"/>
        <v>593809</v>
      </c>
      <c r="E28" s="127">
        <f t="shared" si="12"/>
        <v>566256</v>
      </c>
      <c r="F28" s="127">
        <f t="shared" si="12"/>
        <v>535528</v>
      </c>
      <c r="J28" s="109" t="s">
        <v>178</v>
      </c>
      <c r="K28" s="128">
        <f>VLOOKUP(J28:J53,'Standardized Balance Sheet'!A7:F30,2,FALSE)</f>
        <v>778600</v>
      </c>
      <c r="L28" s="128">
        <f>VLOOKUP(K28:K53,'Standardized Balance Sheet'!B7:G30,2,FALSE)</f>
        <v>799365</v>
      </c>
      <c r="M28" s="128">
        <f>VLOOKUP(L28:L53,'Standardized Balance Sheet'!C7:H30,2,FALSE)</f>
        <v>798868</v>
      </c>
      <c r="N28" s="128">
        <f>VLOOKUP(M28:M53,'Standardized Balance Sheet'!D7:I30,2,FALSE)</f>
        <v>748657</v>
      </c>
      <c r="O28" s="128">
        <f>VLOOKUP(N28:N53,'Standardized Balance Sheet'!E7:J30,2,FALSE)</f>
        <v>717526</v>
      </c>
    </row>
    <row r="29" spans="1:15">
      <c r="A29" s="133" t="s">
        <v>218</v>
      </c>
      <c r="B29" s="127">
        <f t="shared" si="12"/>
        <v>441694</v>
      </c>
      <c r="C29" s="127">
        <f t="shared" si="12"/>
        <v>414543</v>
      </c>
      <c r="D29" s="127">
        <f t="shared" si="12"/>
        <v>297611</v>
      </c>
      <c r="E29" s="127">
        <f t="shared" si="12"/>
        <v>274285</v>
      </c>
      <c r="F29" s="127">
        <f t="shared" si="12"/>
        <v>268821</v>
      </c>
      <c r="J29" s="109" t="s">
        <v>179</v>
      </c>
      <c r="K29" s="128">
        <f>VLOOKUP(J29:J54,'Standardized Balance Sheet'!A8:F31,2,FALSE)</f>
        <v>660170</v>
      </c>
      <c r="L29" s="128">
        <f>VLOOKUP(K29:K54,'Standardized Balance Sheet'!B8:G31,2,FALSE)</f>
        <v>648622</v>
      </c>
      <c r="M29" s="128">
        <f>VLOOKUP(L29:L54,'Standardized Balance Sheet'!C8:H31,2,FALSE)</f>
        <v>550270</v>
      </c>
      <c r="N29" s="128">
        <f>VLOOKUP(M29:M54,'Standardized Balance Sheet'!D8:I31,2,FALSE)</f>
        <v>535979</v>
      </c>
      <c r="O29" s="128">
        <f>VLOOKUP(N29:N54,'Standardized Balance Sheet'!E8:J31,2,FALSE)</f>
        <v>534780</v>
      </c>
    </row>
    <row r="30" spans="1:15">
      <c r="A30" s="137" t="s">
        <v>219</v>
      </c>
      <c r="B30" s="149">
        <f t="shared" si="12"/>
        <v>128108</v>
      </c>
      <c r="C30" s="149">
        <f t="shared" si="12"/>
        <v>108916</v>
      </c>
      <c r="D30" s="149">
        <f t="shared" si="12"/>
        <v>71230</v>
      </c>
      <c r="E30" s="149">
        <f t="shared" si="12"/>
        <v>61321</v>
      </c>
      <c r="F30" s="149">
        <f t="shared" si="12"/>
        <v>63401</v>
      </c>
      <c r="J30" s="109" t="s">
        <v>133</v>
      </c>
      <c r="K30" s="128">
        <f>VLOOKUP(J30:J55,'Standardized Balance Sheet'!A9:F32,2,FALSE)</f>
        <v>306054</v>
      </c>
      <c r="L30" s="128">
        <f>VLOOKUP(K30:K55,'Standardized Balance Sheet'!B9:G32,2,FALSE)</f>
        <v>307450</v>
      </c>
      <c r="M30" s="128">
        <f>VLOOKUP(L30:L55,'Standardized Balance Sheet'!C9:H32,2,FALSE)</f>
        <v>196785</v>
      </c>
      <c r="N30" s="128">
        <f>VLOOKUP(M30:M55,'Standardized Balance Sheet'!D9:I32,2,FALSE)</f>
        <v>206242</v>
      </c>
      <c r="O30" s="128">
        <f>VLOOKUP(N30:N55,'Standardized Balance Sheet'!E9:J32,2,FALSE)</f>
        <v>217308</v>
      </c>
    </row>
    <row r="31" spans="1:15">
      <c r="A31" s="133" t="s">
        <v>220</v>
      </c>
      <c r="B31" s="127">
        <f>K37</f>
        <v>252538</v>
      </c>
      <c r="C31" s="127">
        <f>L37</f>
        <v>272911</v>
      </c>
      <c r="D31" s="127">
        <f>M37</f>
        <v>175801</v>
      </c>
      <c r="E31" s="127">
        <f>N37</f>
        <v>185592</v>
      </c>
      <c r="F31" s="127">
        <f>O37</f>
        <v>196641</v>
      </c>
      <c r="J31" s="109" t="s">
        <v>180</v>
      </c>
      <c r="K31" s="128">
        <f>VLOOKUP(J31:J56,'Standardized Balance Sheet'!A10:F33,2,FALSE)</f>
        <v>0</v>
      </c>
      <c r="L31" s="128">
        <f>VLOOKUP(K31:K56,'Standardized Balance Sheet'!B10:G33,2,FALSE)</f>
        <v>0</v>
      </c>
      <c r="M31" s="128">
        <f>VLOOKUP(L31:L56,'Standardized Balance Sheet'!C10:H33,2,FALSE)</f>
        <v>0</v>
      </c>
      <c r="N31" s="128">
        <f>VLOOKUP(M31:M56,'Standardized Balance Sheet'!D10:I33,2,FALSE)</f>
        <v>0</v>
      </c>
      <c r="O31" s="128">
        <f>VLOOKUP(N31:N56,'Standardized Balance Sheet'!E10:J33,2,FALSE)</f>
        <v>0</v>
      </c>
    </row>
    <row r="32" spans="1:15">
      <c r="A32" s="133" t="s">
        <v>221</v>
      </c>
      <c r="B32" s="127">
        <f>K39</f>
        <v>789139</v>
      </c>
      <c r="C32" s="127">
        <f>L39</f>
        <v>772493</v>
      </c>
      <c r="D32" s="127">
        <f>M39</f>
        <v>614209</v>
      </c>
      <c r="E32" s="127">
        <f>N39</f>
        <v>513052</v>
      </c>
      <c r="F32" s="127">
        <f>O39</f>
        <v>488123</v>
      </c>
      <c r="J32" s="109" t="s">
        <v>135</v>
      </c>
      <c r="K32" s="128">
        <f>VLOOKUP(J32:J57,'Standardized Balance Sheet'!A11:F34,2,FALSE)</f>
        <v>27080</v>
      </c>
      <c r="L32" s="128">
        <f>VLOOKUP(K32:K57,'Standardized Balance Sheet'!B11:G34,2,FALSE)</f>
        <v>39496</v>
      </c>
      <c r="M32" s="128">
        <f>VLOOKUP(L32:L57,'Standardized Balance Sheet'!C11:H34,2,FALSE)</f>
        <v>41836</v>
      </c>
      <c r="N32" s="128">
        <f>VLOOKUP(M32:M57,'Standardized Balance Sheet'!D11:I34,2,FALSE)</f>
        <v>36978</v>
      </c>
      <c r="O32" s="128">
        <f>VLOOKUP(N32:N57,'Standardized Balance Sheet'!E11:J34,2,FALSE)</f>
        <v>35066</v>
      </c>
    </row>
    <row r="33" spans="1:15">
      <c r="A33" s="137" t="s">
        <v>222</v>
      </c>
      <c r="B33" s="185">
        <f>SUM(B27:B30)-SUM(B31:B32)</f>
        <v>511825.62999999989</v>
      </c>
      <c r="C33" s="185">
        <f>SUM(C27:C30)-SUM(C31:C32)</f>
        <v>385645.10000000009</v>
      </c>
      <c r="D33" s="185">
        <f>SUM(D27:D30)-SUM(D31:D32)</f>
        <v>388602.39000000013</v>
      </c>
      <c r="E33" s="185">
        <f>SUM(E27:E30)-SUM(E31:E32)</f>
        <v>413823.64000000013</v>
      </c>
      <c r="F33" s="185">
        <f>SUM(F27:F30)-SUM(F31:F32)</f>
        <v>388477.02</v>
      </c>
      <c r="J33" s="109" t="s">
        <v>134</v>
      </c>
      <c r="K33" s="128">
        <f>VLOOKUP(J33:J58,'Standardized Balance Sheet'!A12:F35,2,FALSE)</f>
        <v>345402</v>
      </c>
      <c r="L33" s="128">
        <f>VLOOKUP(K33:K58,'Standardized Balance Sheet'!B12:G35,2,FALSE)</f>
        <v>262507</v>
      </c>
      <c r="M33" s="128">
        <f>VLOOKUP(L33:L58,'Standardized Balance Sheet'!C12:H35,2,FALSE)</f>
        <v>169886</v>
      </c>
      <c r="N33" s="128">
        <f>VLOOKUP(M33:M58,'Standardized Balance Sheet'!D12:I35,2,FALSE)</f>
        <v>151818</v>
      </c>
      <c r="O33" s="128">
        <f>VLOOKUP(N33:N58,'Standardized Balance Sheet'!E12:J35,2,FALSE)</f>
        <v>68307</v>
      </c>
    </row>
    <row r="34" spans="1:15">
      <c r="A34" s="146" t="s">
        <v>223</v>
      </c>
      <c r="B34" s="127"/>
      <c r="C34" s="127"/>
      <c r="D34" s="127"/>
      <c r="E34" s="127"/>
      <c r="F34" s="127"/>
      <c r="J34" s="112" t="s">
        <v>6</v>
      </c>
      <c r="K34" s="129">
        <f>VLOOKUP(J34:J59,'Standardized Balance Sheet'!A13:F36,2,FALSE)</f>
        <v>3492395</v>
      </c>
      <c r="L34" s="129">
        <f>VLOOKUP(K34:K59,'Standardized Balance Sheet'!B13:G36,2,FALSE)</f>
        <v>3326798</v>
      </c>
      <c r="M34" s="129">
        <f>VLOOKUP(L34:L59,'Standardized Balance Sheet'!C13:H36,2,FALSE)</f>
        <v>2814549</v>
      </c>
      <c r="N34" s="129">
        <f>VLOOKUP(M34:M59,'Standardized Balance Sheet'!D13:I36,2,FALSE)</f>
        <v>2789321</v>
      </c>
      <c r="O34" s="129">
        <f>VLOOKUP(N34:N59,'Standardized Balance Sheet'!E13:J36,2,FALSE)</f>
        <v>2618847</v>
      </c>
    </row>
    <row r="35" spans="1:15">
      <c r="A35" s="133" t="s">
        <v>224</v>
      </c>
      <c r="B35" s="127">
        <f>K28+K32</f>
        <v>805680</v>
      </c>
      <c r="C35" s="127">
        <f t="shared" ref="C35:F35" si="13">L28+L32</f>
        <v>838861</v>
      </c>
      <c r="D35" s="127">
        <f t="shared" si="13"/>
        <v>840704</v>
      </c>
      <c r="E35" s="127">
        <f t="shared" si="13"/>
        <v>785635</v>
      </c>
      <c r="F35" s="127">
        <f t="shared" si="13"/>
        <v>752592</v>
      </c>
      <c r="J35" s="112"/>
      <c r="K35" s="128"/>
      <c r="L35" s="128"/>
      <c r="M35" s="128"/>
      <c r="N35" s="128"/>
      <c r="O35" s="128"/>
    </row>
    <row r="36" spans="1:15">
      <c r="A36" s="133" t="s">
        <v>225</v>
      </c>
      <c r="B36" s="127">
        <f>K29+K30</f>
        <v>966224</v>
      </c>
      <c r="C36" s="127">
        <f t="shared" ref="C36:F36" si="14">L29+L30</f>
        <v>956072</v>
      </c>
      <c r="D36" s="127">
        <f t="shared" si="14"/>
        <v>747055</v>
      </c>
      <c r="E36" s="127">
        <f t="shared" si="14"/>
        <v>742221</v>
      </c>
      <c r="F36" s="127">
        <f t="shared" si="14"/>
        <v>752088</v>
      </c>
      <c r="J36" s="112" t="s">
        <v>320</v>
      </c>
      <c r="K36" s="128"/>
      <c r="L36" s="128"/>
      <c r="M36" s="128"/>
      <c r="N36" s="128"/>
      <c r="O36" s="128"/>
    </row>
    <row r="37" spans="1:15">
      <c r="A37" s="133" t="s">
        <v>226</v>
      </c>
      <c r="B37" s="127">
        <f t="shared" ref="B37:F38" si="15">K43</f>
        <v>111360</v>
      </c>
      <c r="C37" s="127">
        <f t="shared" si="15"/>
        <v>62230</v>
      </c>
      <c r="D37" s="127">
        <f t="shared" si="15"/>
        <v>34448</v>
      </c>
      <c r="E37" s="127">
        <f t="shared" si="15"/>
        <v>45267</v>
      </c>
      <c r="F37" s="127">
        <f t="shared" si="15"/>
        <v>48818</v>
      </c>
      <c r="J37" s="109" t="s">
        <v>182</v>
      </c>
      <c r="K37" s="128">
        <f>VLOOKUP(J37:J46,'Standardized Balance Sheet'!A1:F24,2,FALSE)</f>
        <v>252538</v>
      </c>
      <c r="L37" s="128">
        <f>VLOOKUP(K37:K46,'Standardized Balance Sheet'!B1:G24,2,FALSE)</f>
        <v>272911</v>
      </c>
      <c r="M37" s="128">
        <f>VLOOKUP(L37:L46,'Standardized Balance Sheet'!C1:H24,2,FALSE)</f>
        <v>175801</v>
      </c>
      <c r="N37" s="128">
        <f>VLOOKUP(M37:M46,'Standardized Balance Sheet'!D1:I24,2,FALSE)</f>
        <v>185592</v>
      </c>
      <c r="O37" s="128">
        <f>VLOOKUP(N37:N46,'Standardized Balance Sheet'!E1:J24,2,FALSE)</f>
        <v>196641</v>
      </c>
    </row>
    <row r="38" spans="1:15">
      <c r="A38" s="133" t="s">
        <v>227</v>
      </c>
      <c r="B38" s="127">
        <f t="shared" si="15"/>
        <v>300031</v>
      </c>
      <c r="C38" s="127">
        <f t="shared" si="15"/>
        <v>365801</v>
      </c>
      <c r="D38" s="127">
        <f t="shared" si="15"/>
        <v>372925</v>
      </c>
      <c r="E38" s="127">
        <f t="shared" si="15"/>
        <v>333412</v>
      </c>
      <c r="F38" s="127">
        <f t="shared" si="15"/>
        <v>260511</v>
      </c>
      <c r="J38" s="109" t="s">
        <v>181</v>
      </c>
      <c r="K38" s="128">
        <f>VLOOKUP(J38:J47,'Standardized Balance Sheet'!A2:F25,2,FALSE)</f>
        <v>106054</v>
      </c>
      <c r="L38" s="128">
        <f>VLOOKUP(K38:K47,'Standardized Balance Sheet'!B2:G25,2,FALSE)</f>
        <v>101134</v>
      </c>
      <c r="M38" s="128">
        <f>VLOOKUP(L38:L47,'Standardized Balance Sheet'!C2:H25,2,FALSE)</f>
        <v>50317</v>
      </c>
      <c r="N38" s="128">
        <f>VLOOKUP(M38:M47,'Standardized Balance Sheet'!D2:I25,2,FALSE)</f>
        <v>55868</v>
      </c>
      <c r="O38" s="128">
        <f>VLOOKUP(N38:N47,'Standardized Balance Sheet'!E2:J25,2,FALSE)</f>
        <v>49670</v>
      </c>
    </row>
    <row r="39" spans="1:15">
      <c r="A39" s="137" t="s">
        <v>228</v>
      </c>
      <c r="B39" s="149">
        <f>B35+B36-B37-B38</f>
        <v>1360513</v>
      </c>
      <c r="C39" s="149">
        <f t="shared" ref="C39:F39" si="16">C35+C36-C37-C38</f>
        <v>1366902</v>
      </c>
      <c r="D39" s="149">
        <f t="shared" si="16"/>
        <v>1180386</v>
      </c>
      <c r="E39" s="149">
        <f t="shared" si="16"/>
        <v>1149177</v>
      </c>
      <c r="F39" s="149">
        <f t="shared" si="16"/>
        <v>1195351</v>
      </c>
      <c r="J39" s="109" t="s">
        <v>186</v>
      </c>
      <c r="K39" s="128">
        <f>VLOOKUP(J39:J48,'Standardized Balance Sheet'!A3:F26,2,FALSE)</f>
        <v>789139</v>
      </c>
      <c r="L39" s="128">
        <f>VLOOKUP(K39:K48,'Standardized Balance Sheet'!B3:G26,2,FALSE)</f>
        <v>772493</v>
      </c>
      <c r="M39" s="128">
        <f>VLOOKUP(L39:L48,'Standardized Balance Sheet'!C3:H26,2,FALSE)</f>
        <v>614209</v>
      </c>
      <c r="N39" s="128">
        <f>VLOOKUP(M39:M48,'Standardized Balance Sheet'!D3:I26,2,FALSE)</f>
        <v>513052</v>
      </c>
      <c r="O39" s="128">
        <f>VLOOKUP(N39:N48,'Standardized Balance Sheet'!E3:J26,2,FALSE)</f>
        <v>488123</v>
      </c>
    </row>
    <row r="40" spans="1:15">
      <c r="A40" s="146" t="s">
        <v>229</v>
      </c>
      <c r="B40" s="148"/>
      <c r="C40" s="148"/>
      <c r="D40" s="148"/>
      <c r="E40" s="148"/>
      <c r="F40" s="148"/>
      <c r="J40" s="112" t="s">
        <v>7</v>
      </c>
      <c r="K40" s="128">
        <f>VLOOKUP(J40:J49,'Standardized Balance Sheet'!A4:F27,2,FALSE)</f>
        <v>1147731</v>
      </c>
      <c r="L40" s="128">
        <f>VLOOKUP(K40:K49,'Standardized Balance Sheet'!B4:G27,2,FALSE)</f>
        <v>1146538</v>
      </c>
      <c r="M40" s="128">
        <f>VLOOKUP(L40:L49,'Standardized Balance Sheet'!C4:H27,2,FALSE)</f>
        <v>840327</v>
      </c>
      <c r="N40" s="128">
        <f>VLOOKUP(M40:M49,'Standardized Balance Sheet'!D4:I27,2,FALSE)</f>
        <v>754512</v>
      </c>
      <c r="O40" s="128">
        <f>VLOOKUP(N40:N49,'Standardized Balance Sheet'!E4:J27,2,FALSE)</f>
        <v>734434</v>
      </c>
    </row>
    <row r="41" spans="1:15">
      <c r="A41" s="133" t="s">
        <v>230</v>
      </c>
      <c r="B41" s="148">
        <f>K22-B27</f>
        <v>-178413.63</v>
      </c>
      <c r="C41" s="148">
        <f>L22-C27</f>
        <v>-161691.10000000003</v>
      </c>
      <c r="D41" s="148">
        <f>M22-D27</f>
        <v>-121708.39000000001</v>
      </c>
      <c r="E41" s="148">
        <f>N22-E27</f>
        <v>-2820.640000000014</v>
      </c>
      <c r="F41" s="148">
        <f>O22-F27</f>
        <v>-27381.020000000019</v>
      </c>
      <c r="J41" s="109"/>
      <c r="K41" s="128"/>
      <c r="L41" s="128"/>
      <c r="M41" s="128"/>
      <c r="N41" s="128"/>
      <c r="O41" s="128"/>
    </row>
    <row r="42" spans="1:15">
      <c r="A42" s="133" t="s">
        <v>231</v>
      </c>
      <c r="B42" s="127">
        <f>K33</f>
        <v>345402</v>
      </c>
      <c r="C42" s="127">
        <f t="shared" ref="C42:F42" si="17">L33</f>
        <v>262507</v>
      </c>
      <c r="D42" s="127">
        <f t="shared" si="17"/>
        <v>169886</v>
      </c>
      <c r="E42" s="127">
        <f t="shared" si="17"/>
        <v>151818</v>
      </c>
      <c r="F42" s="127">
        <f t="shared" si="17"/>
        <v>68307</v>
      </c>
      <c r="J42" s="40" t="s">
        <v>183</v>
      </c>
      <c r="K42" s="128">
        <f>VLOOKUP(J42:J51,'Standardized Balance Sheet'!A6:F29,2,FALSE)</f>
        <v>1908480</v>
      </c>
      <c r="L42" s="128">
        <f>VLOOKUP(K42:K51,'Standardized Balance Sheet'!B6:G29,2,FALSE)</f>
        <v>1580808</v>
      </c>
      <c r="M42" s="128">
        <f>VLOOKUP(L42:L51,'Standardized Balance Sheet'!C6:H29,2,FALSE)</f>
        <v>1284174</v>
      </c>
      <c r="N42" s="128">
        <f>VLOOKUP(M42:M51,'Standardized Balance Sheet'!D6:I29,2,FALSE)</f>
        <v>1235350</v>
      </c>
      <c r="O42" s="128">
        <f>VLOOKUP(N42:N51,'Standardized Balance Sheet'!E6:J29,2,FALSE)</f>
        <v>985021</v>
      </c>
    </row>
    <row r="43" spans="1:15">
      <c r="A43" s="137" t="s">
        <v>232</v>
      </c>
      <c r="B43" s="185">
        <f>B41+B42</f>
        <v>166988.37</v>
      </c>
      <c r="C43" s="185">
        <f t="shared" ref="C43:F43" si="18">C41+C42</f>
        <v>100815.89999999997</v>
      </c>
      <c r="D43" s="185">
        <f t="shared" si="18"/>
        <v>48177.609999999986</v>
      </c>
      <c r="E43" s="185">
        <f t="shared" si="18"/>
        <v>148997.35999999999</v>
      </c>
      <c r="F43" s="185">
        <f t="shared" si="18"/>
        <v>40925.979999999981</v>
      </c>
      <c r="J43" s="109" t="s">
        <v>184</v>
      </c>
      <c r="K43" s="128">
        <f>VLOOKUP(J43:J52,'Standardized Balance Sheet'!A7:F30,2,FALSE)</f>
        <v>111360</v>
      </c>
      <c r="L43" s="128">
        <f>VLOOKUP(K43:K52,'Standardized Balance Sheet'!B7:G30,2,FALSE)</f>
        <v>62230</v>
      </c>
      <c r="M43" s="128">
        <f>VLOOKUP(L43:L52,'Standardized Balance Sheet'!C7:H30,2,FALSE)</f>
        <v>34448</v>
      </c>
      <c r="N43" s="128">
        <f>VLOOKUP(M43:M52,'Standardized Balance Sheet'!D7:I30,2,FALSE)</f>
        <v>45267</v>
      </c>
      <c r="O43" s="128">
        <f>VLOOKUP(N43:N52,'Standardized Balance Sheet'!E7:J30,2,FALSE)</f>
        <v>48818</v>
      </c>
    </row>
    <row r="44" spans="1:15">
      <c r="A44" s="130" t="s">
        <v>233</v>
      </c>
      <c r="B44" s="149">
        <f>B33+B39+B43</f>
        <v>2039327</v>
      </c>
      <c r="C44" s="149">
        <f t="shared" ref="C44:F44" si="19">C33+C39+C43</f>
        <v>1853363</v>
      </c>
      <c r="D44" s="149">
        <f t="shared" si="19"/>
        <v>1617166</v>
      </c>
      <c r="E44" s="149">
        <f t="shared" si="19"/>
        <v>1711998</v>
      </c>
      <c r="F44" s="149">
        <f t="shared" si="19"/>
        <v>1624754</v>
      </c>
      <c r="J44" s="33" t="s">
        <v>195</v>
      </c>
      <c r="K44" s="128">
        <f>VLOOKUP(J44:J53,'Standardized Balance Sheet'!A8:F31,2,FALSE)</f>
        <v>300031</v>
      </c>
      <c r="L44" s="128">
        <f>VLOOKUP(K44:K53,'Standardized Balance Sheet'!B8:G31,2,FALSE)</f>
        <v>365801</v>
      </c>
      <c r="M44" s="128">
        <f>VLOOKUP(L44:L53,'Standardized Balance Sheet'!C8:H31,2,FALSE)</f>
        <v>372925</v>
      </c>
      <c r="N44" s="128">
        <f>VLOOKUP(M44:M53,'Standardized Balance Sheet'!D8:I31,2,FALSE)</f>
        <v>333412</v>
      </c>
      <c r="O44" s="128">
        <f>VLOOKUP(N44:N53,'Standardized Balance Sheet'!E8:J31,2,FALSE)</f>
        <v>260511</v>
      </c>
    </row>
    <row r="45" spans="1:15">
      <c r="A45" s="109"/>
      <c r="B45" s="127"/>
      <c r="C45" s="127"/>
      <c r="D45" s="127"/>
      <c r="E45" s="127"/>
      <c r="F45" s="127"/>
      <c r="J45" s="29" t="s">
        <v>331</v>
      </c>
      <c r="K45" s="129">
        <f>VLOOKUP(J45:J54,'Standardized Balance Sheet'!A9:F32,2,FALSE)</f>
        <v>3492395</v>
      </c>
      <c r="L45" s="129">
        <f>VLOOKUP(K45:K54,'Standardized Balance Sheet'!B9:G32,2,FALSE)</f>
        <v>3326798</v>
      </c>
      <c r="M45" s="129">
        <f>VLOOKUP(L45:L54,'Standardized Balance Sheet'!C9:H32,2,FALSE)</f>
        <v>2814549</v>
      </c>
      <c r="N45" s="129">
        <f>VLOOKUP(M45:M54,'Standardized Balance Sheet'!D9:I32,2,FALSE)</f>
        <v>2789321</v>
      </c>
      <c r="O45" s="129">
        <f>VLOOKUP(N45:N54,'Standardized Balance Sheet'!E9:J32,2,FALSE)</f>
        <v>2618847</v>
      </c>
    </row>
    <row r="46" spans="1:15">
      <c r="A46" s="130" t="s">
        <v>234</v>
      </c>
      <c r="B46" s="127"/>
      <c r="C46" s="127"/>
      <c r="D46" s="127"/>
      <c r="E46" s="127"/>
      <c r="F46" s="127"/>
      <c r="J46" s="38" t="s">
        <v>138</v>
      </c>
      <c r="K46" s="129">
        <f>VLOOKUP(J46:J55,'Standardized Balance Sheet'!A10:F33,2,FALSE)</f>
        <v>24793</v>
      </c>
      <c r="L46" s="129">
        <f>VLOOKUP(K46:K55,'Standardized Balance Sheet'!B10:G33,2,FALSE)</f>
        <v>171421</v>
      </c>
      <c r="M46" s="129">
        <f>VLOOKUP(L46:L55,'Standardized Balance Sheet'!C10:H33,2,FALSE)</f>
        <v>282675</v>
      </c>
      <c r="N46" s="129">
        <f>VLOOKUP(M46:M55,'Standardized Balance Sheet'!D10:I33,2,FALSE)</f>
        <v>420780</v>
      </c>
      <c r="O46" s="129">
        <f>VLOOKUP(N46:N55,'Standardized Balance Sheet'!E10:J33,2,FALSE)</f>
        <v>590063</v>
      </c>
    </row>
    <row r="47" spans="1:15">
      <c r="A47" s="133" t="s">
        <v>235</v>
      </c>
      <c r="B47" s="127">
        <f>K38</f>
        <v>106054</v>
      </c>
      <c r="C47" s="127">
        <f>L38</f>
        <v>101134</v>
      </c>
      <c r="D47" s="127">
        <f>M38</f>
        <v>50317</v>
      </c>
      <c r="E47" s="127">
        <f>N38</f>
        <v>55868</v>
      </c>
      <c r="F47" s="127">
        <f>O38</f>
        <v>49670</v>
      </c>
      <c r="J47" s="38" t="s">
        <v>139</v>
      </c>
      <c r="K47" s="129">
        <f>VLOOKUP(J47:J56,'Standardized Balance Sheet'!A11:F34,2,FALSE)</f>
        <v>3492395</v>
      </c>
      <c r="L47" s="129">
        <f>VLOOKUP(K47:K56,'Standardized Balance Sheet'!B11:G34,2,FALSE)</f>
        <v>3326798</v>
      </c>
      <c r="M47" s="129">
        <f>VLOOKUP(L47:L56,'Standardized Balance Sheet'!C11:H34,2,FALSE)</f>
        <v>2814549</v>
      </c>
      <c r="N47" s="129">
        <f>VLOOKUP(M47:M56,'Standardized Balance Sheet'!D11:I34,2,FALSE)</f>
        <v>2789321</v>
      </c>
      <c r="O47" s="129">
        <f>VLOOKUP(N47:N56,'Standardized Balance Sheet'!E11:J34,2,FALSE)</f>
        <v>2618847</v>
      </c>
    </row>
    <row r="48" spans="1:15">
      <c r="A48" s="133" t="s">
        <v>236</v>
      </c>
      <c r="B48" s="127">
        <f>K42</f>
        <v>1908480</v>
      </c>
      <c r="C48" s="127">
        <f>L42</f>
        <v>1580808</v>
      </c>
      <c r="D48" s="127">
        <f>M42</f>
        <v>1284174</v>
      </c>
      <c r="E48" s="127">
        <f>N42</f>
        <v>1235350</v>
      </c>
      <c r="F48" s="127">
        <f>O42</f>
        <v>985021</v>
      </c>
    </row>
    <row r="49" spans="1:15">
      <c r="A49" s="137" t="s">
        <v>237</v>
      </c>
      <c r="B49" s="149">
        <f>B47+B48</f>
        <v>2014534</v>
      </c>
      <c r="C49" s="149">
        <f t="shared" ref="C49:F49" si="20">C47+C48</f>
        <v>1681942</v>
      </c>
      <c r="D49" s="149">
        <f t="shared" si="20"/>
        <v>1334491</v>
      </c>
      <c r="E49" s="149">
        <f t="shared" si="20"/>
        <v>1291218</v>
      </c>
      <c r="F49" s="149">
        <f t="shared" si="20"/>
        <v>1034691</v>
      </c>
      <c r="J49" s="94" t="s">
        <v>317</v>
      </c>
      <c r="K49" s="94" t="s">
        <v>15</v>
      </c>
      <c r="L49" s="94" t="s">
        <v>14</v>
      </c>
      <c r="M49" s="94" t="s">
        <v>13</v>
      </c>
      <c r="N49" s="94" t="s">
        <v>12</v>
      </c>
      <c r="O49" s="94" t="s">
        <v>11</v>
      </c>
    </row>
    <row r="50" spans="1:15">
      <c r="A50" s="146" t="s">
        <v>238</v>
      </c>
      <c r="B50" s="127"/>
      <c r="C50" s="127"/>
      <c r="D50" s="127"/>
      <c r="E50" s="127"/>
      <c r="F50" s="127"/>
      <c r="J50" s="109" t="s">
        <v>197</v>
      </c>
      <c r="K50" s="127">
        <f>VLOOKUP(J50,'Standardized Cash Flows  '!A1:F19,2,FALSE)</f>
        <v>872502</v>
      </c>
      <c r="L50" s="127">
        <f>VLOOKUP(K50,'Standardized Cash Flows  '!B1:G19,2,FALSE)</f>
        <v>768985</v>
      </c>
      <c r="M50" s="127">
        <f>VLOOKUP(L50,'Standardized Cash Flows  '!C1:H19,2,FALSE)</f>
        <v>602739</v>
      </c>
      <c r="N50" s="127">
        <f>VLOOKUP(M50,'Standardized Cash Flows  '!D1:I19,2,FALSE)</f>
        <v>561109</v>
      </c>
      <c r="O50" s="127">
        <f>VLOOKUP(N50,'Standardized Cash Flows  '!E1:J19,2,FALSE)</f>
        <v>512611</v>
      </c>
    </row>
    <row r="51" spans="1:15">
      <c r="A51" s="133" t="s">
        <v>239</v>
      </c>
      <c r="B51" s="127">
        <f>K46</f>
        <v>24793</v>
      </c>
      <c r="C51" s="127">
        <f>L46</f>
        <v>171421</v>
      </c>
      <c r="D51" s="127">
        <f>M46</f>
        <v>282675</v>
      </c>
      <c r="E51" s="127">
        <f>N46</f>
        <v>420780</v>
      </c>
      <c r="F51" s="127">
        <f>O46</f>
        <v>590063</v>
      </c>
      <c r="J51" s="109" t="s">
        <v>188</v>
      </c>
      <c r="K51" s="127">
        <f>VLOOKUP(J51,'Standardized Cash Flows  '!A2:F20,2,FALSE)</f>
        <v>0</v>
      </c>
      <c r="L51" s="127">
        <f>VLOOKUP(K51,'Standardized Cash Flows  '!B2:G20,2,FALSE)</f>
        <v>7230</v>
      </c>
      <c r="M51" s="127">
        <f>VLOOKUP(L51,'Standardized Cash Flows  '!C2:H20,2,FALSE)</f>
        <v>-2399</v>
      </c>
      <c r="N51" s="127">
        <f>VLOOKUP(M51,'Standardized Cash Flows  '!D2:I20,2,FALSE)</f>
        <v>-15700</v>
      </c>
      <c r="O51" s="127">
        <f>VLOOKUP(N51,'Standardized Cash Flows  '!E2:J20,2,FALSE)</f>
        <v>-17636</v>
      </c>
    </row>
    <row r="52" spans="1:15">
      <c r="A52" s="135" t="s">
        <v>240</v>
      </c>
      <c r="B52" s="127">
        <v>0</v>
      </c>
      <c r="C52" s="127">
        <v>0</v>
      </c>
      <c r="D52" s="127">
        <v>0</v>
      </c>
      <c r="E52" s="127">
        <v>0</v>
      </c>
      <c r="F52" s="127">
        <v>0</v>
      </c>
      <c r="J52" s="109" t="s">
        <v>148</v>
      </c>
      <c r="K52" s="127">
        <f>VLOOKUP(J52,'Standardized Cash Flows  '!A3:F21,2,FALSE)</f>
        <v>159201</v>
      </c>
      <c r="L52" s="127">
        <f>VLOOKUP(K52,'Standardized Cash Flows  '!B3:G21,2,FALSE)</f>
        <v>128215</v>
      </c>
      <c r="M52" s="127">
        <f>VLOOKUP(L52,'Standardized Cash Flows  '!C3:H21,2,FALSE)</f>
        <v>104612</v>
      </c>
      <c r="N52" s="127">
        <f>VLOOKUP(M52,'Standardized Cash Flows  '!D3:I21,2,FALSE)</f>
        <v>118169</v>
      </c>
      <c r="O52" s="127">
        <f>VLOOKUP(N52,'Standardized Cash Flows  '!E3:J21,2,FALSE)</f>
        <v>104572</v>
      </c>
    </row>
    <row r="53" spans="1:15">
      <c r="A53" s="147" t="s">
        <v>241</v>
      </c>
      <c r="B53" s="149">
        <f>B51+B52</f>
        <v>24793</v>
      </c>
      <c r="C53" s="149">
        <f t="shared" ref="C53:F53" si="21">C51+C52</f>
        <v>171421</v>
      </c>
      <c r="D53" s="149">
        <f t="shared" si="21"/>
        <v>282675</v>
      </c>
      <c r="E53" s="149">
        <f t="shared" si="21"/>
        <v>420780</v>
      </c>
      <c r="F53" s="149">
        <f t="shared" si="21"/>
        <v>590063</v>
      </c>
      <c r="J53" s="109" t="s">
        <v>189</v>
      </c>
      <c r="K53" s="127">
        <v>0</v>
      </c>
      <c r="L53" s="127">
        <v>0</v>
      </c>
      <c r="M53" s="127">
        <v>0</v>
      </c>
      <c r="N53" s="127">
        <v>0</v>
      </c>
      <c r="O53" s="127">
        <v>0</v>
      </c>
    </row>
    <row r="54" spans="1:15">
      <c r="A54" s="130" t="s">
        <v>242</v>
      </c>
      <c r="B54" s="149">
        <f>B49+B53</f>
        <v>2039327</v>
      </c>
      <c r="C54" s="149">
        <f t="shared" ref="C54:F54" si="22">C49+C53</f>
        <v>1853363</v>
      </c>
      <c r="D54" s="149">
        <f t="shared" si="22"/>
        <v>1617166</v>
      </c>
      <c r="E54" s="149">
        <f t="shared" si="22"/>
        <v>1711998</v>
      </c>
      <c r="F54" s="149">
        <f t="shared" si="22"/>
        <v>1624754</v>
      </c>
      <c r="J54" s="109" t="s">
        <v>190</v>
      </c>
      <c r="K54" s="127">
        <v>0</v>
      </c>
      <c r="L54" s="127">
        <v>0</v>
      </c>
      <c r="M54" s="127">
        <v>0</v>
      </c>
      <c r="N54" s="127">
        <v>0</v>
      </c>
      <c r="O54" s="127">
        <v>0</v>
      </c>
    </row>
    <row r="55" spans="1:15">
      <c r="A55" s="150"/>
      <c r="B55" s="151"/>
      <c r="C55" s="151"/>
      <c r="D55" s="151"/>
      <c r="E55" s="151"/>
      <c r="F55" s="151"/>
      <c r="J55" s="109" t="s">
        <v>150</v>
      </c>
      <c r="K55" s="127">
        <f>VLOOKUP(J55,'Standardized Cash Flows  '!A1:F19,2,FALSE)</f>
        <v>-228495</v>
      </c>
      <c r="L55" s="127">
        <f>VLOOKUP(K55,'Standardized Cash Flows  '!B1:G19,2,FALSE)</f>
        <v>-15293</v>
      </c>
      <c r="M55" s="127">
        <f>VLOOKUP(L55,'Standardized Cash Flows  '!C1:H19,2,FALSE)</f>
        <v>5698</v>
      </c>
      <c r="N55" s="127">
        <f>VLOOKUP(M55,'Standardized Cash Flows  '!D1:I19,2,FALSE)</f>
        <v>-53952</v>
      </c>
      <c r="O55" s="127">
        <f>VLOOKUP(N55,'Standardized Cash Flows  '!E1:J19,2,FALSE)</f>
        <v>-33014</v>
      </c>
    </row>
    <row r="56" spans="1:15">
      <c r="A56" s="94" t="s">
        <v>316</v>
      </c>
      <c r="B56" s="94" t="s">
        <v>15</v>
      </c>
      <c r="C56" s="94" t="s">
        <v>14</v>
      </c>
      <c r="D56" s="94" t="s">
        <v>13</v>
      </c>
      <c r="E56" s="94" t="s">
        <v>12</v>
      </c>
      <c r="F56" s="94" t="s">
        <v>11</v>
      </c>
      <c r="J56" s="109" t="s">
        <v>151</v>
      </c>
      <c r="K56" s="127">
        <f>VLOOKUP(J56,'Standardized Cash Flows  '!A2:F20,2,FALSE)</f>
        <v>-139395</v>
      </c>
      <c r="L56" s="127">
        <f>VLOOKUP(K56,'Standardized Cash Flows  '!B2:G20,2,FALSE)</f>
        <v>-314108</v>
      </c>
      <c r="M56" s="127">
        <f>VLOOKUP(L56,'Standardized Cash Flows  '!C2:H20,2,FALSE)</f>
        <v>-100360</v>
      </c>
      <c r="N56" s="127">
        <f>VLOOKUP(M56,'Standardized Cash Flows  '!D2:I20,2,FALSE)</f>
        <v>-99083</v>
      </c>
      <c r="O56" s="127">
        <f>VLOOKUP(N56,'Standardized Cash Flows  '!E2:J20,2,FALSE)</f>
        <v>-138944</v>
      </c>
    </row>
    <row r="57" spans="1:15">
      <c r="A57" s="110" t="s">
        <v>457</v>
      </c>
      <c r="B57" s="127">
        <f>K50+K58</f>
        <v>928361</v>
      </c>
      <c r="C57" s="127">
        <f>L50+L58</f>
        <v>788673</v>
      </c>
      <c r="D57" s="127">
        <f>M50+M58</f>
        <v>616788</v>
      </c>
      <c r="E57" s="127">
        <f>N50+N58</f>
        <v>554933</v>
      </c>
      <c r="F57" s="127">
        <f>O50+O58</f>
        <v>511083</v>
      </c>
      <c r="J57" s="109" t="s">
        <v>191</v>
      </c>
      <c r="K57" s="127">
        <v>0</v>
      </c>
      <c r="L57" s="127">
        <v>0</v>
      </c>
      <c r="M57" s="127">
        <v>0</v>
      </c>
      <c r="N57" s="127">
        <v>0</v>
      </c>
      <c r="O57" s="127">
        <v>0</v>
      </c>
    </row>
    <row r="58" spans="1:15">
      <c r="A58" s="110" t="s">
        <v>149</v>
      </c>
      <c r="B58" s="127">
        <f t="shared" ref="B58:F59" si="23">K51</f>
        <v>0</v>
      </c>
      <c r="C58" s="127">
        <f t="shared" si="23"/>
        <v>7230</v>
      </c>
      <c r="D58" s="127">
        <f t="shared" si="23"/>
        <v>-2399</v>
      </c>
      <c r="E58" s="127">
        <f t="shared" si="23"/>
        <v>-15700</v>
      </c>
      <c r="F58" s="127">
        <f t="shared" si="23"/>
        <v>-17636</v>
      </c>
      <c r="J58" s="109" t="s">
        <v>158</v>
      </c>
      <c r="K58" s="127">
        <f>VLOOKUP(J58,'Standardized Cash Flows  '!A1:F19,2,FALSE)</f>
        <v>55859</v>
      </c>
      <c r="L58" s="127">
        <f>VLOOKUP(K58,'Standardized Cash Flows  '!B1:G19,2,FALSE)</f>
        <v>19688</v>
      </c>
      <c r="M58" s="127">
        <f>VLOOKUP(L58,'Standardized Cash Flows  '!C1:H19,2,FALSE)</f>
        <v>14049</v>
      </c>
      <c r="N58" s="127">
        <f>VLOOKUP(M58,'Standardized Cash Flows  '!D1:I19,2,FALSE)</f>
        <v>-6176</v>
      </c>
      <c r="O58" s="127">
        <f>VLOOKUP(N58,'Standardized Cash Flows  '!E1:J19,2,FALSE)</f>
        <v>-1528</v>
      </c>
    </row>
    <row r="59" spans="1:15">
      <c r="A59" s="110" t="s">
        <v>243</v>
      </c>
      <c r="B59" s="127">
        <f t="shared" si="23"/>
        <v>159201</v>
      </c>
      <c r="C59" s="127">
        <f t="shared" si="23"/>
        <v>128215</v>
      </c>
      <c r="D59" s="127">
        <f t="shared" si="23"/>
        <v>104612</v>
      </c>
      <c r="E59" s="127">
        <f t="shared" si="23"/>
        <v>118169</v>
      </c>
      <c r="F59" s="127">
        <f t="shared" si="23"/>
        <v>104572</v>
      </c>
      <c r="J59" s="112" t="s">
        <v>318</v>
      </c>
      <c r="K59" s="149">
        <f>SUM(K50:K58)</f>
        <v>719672</v>
      </c>
      <c r="L59" s="149">
        <f>SUM(L50:L58)</f>
        <v>594717</v>
      </c>
      <c r="M59" s="149">
        <f>SUM(M50:M58)</f>
        <v>624339</v>
      </c>
      <c r="N59" s="149">
        <f>SUM(N50:N58)</f>
        <v>504367</v>
      </c>
      <c r="O59" s="149">
        <f>SUM(O50:O58)</f>
        <v>426061</v>
      </c>
    </row>
    <row r="60" spans="1:15">
      <c r="A60" s="152" t="s">
        <v>159</v>
      </c>
      <c r="B60" s="149">
        <f>SUM(B57:B59)</f>
        <v>1087562</v>
      </c>
      <c r="C60" s="149">
        <f>SUM(C57:C59)</f>
        <v>924118</v>
      </c>
      <c r="D60" s="149">
        <f>SUM(D57:D59)</f>
        <v>719001</v>
      </c>
      <c r="E60" s="149">
        <f>SUM(E57:E59)</f>
        <v>657402</v>
      </c>
      <c r="F60" s="149">
        <f>SUM(F57:F59)</f>
        <v>598019</v>
      </c>
      <c r="J60" s="109" t="s">
        <v>152</v>
      </c>
      <c r="K60" s="127">
        <f>VLOOKUP(J60,'Standardized Cash Flows  '!A1:F19,2,FALSE)</f>
        <v>359858</v>
      </c>
      <c r="L60" s="127">
        <f>VLOOKUP(K60,'Standardized Cash Flows  '!B1:G19,2,FALSE)</f>
        <v>391973</v>
      </c>
      <c r="M60" s="127">
        <f>VLOOKUP(L60,'Standardized Cash Flows  '!C1:H19,2,FALSE)</f>
        <v>5171</v>
      </c>
      <c r="N60" s="127">
        <f>VLOOKUP(M60,'Standardized Cash Flows  '!D1:I19,2,FALSE)</f>
        <v>258297</v>
      </c>
      <c r="O60" s="127">
        <f>VLOOKUP(N60,'Standardized Cash Flows  '!E1:J19,2,FALSE)</f>
        <v>64291</v>
      </c>
    </row>
    <row r="61" spans="1:15">
      <c r="A61" s="110" t="s">
        <v>244</v>
      </c>
      <c r="B61" s="127">
        <f>K55</f>
        <v>-228495</v>
      </c>
      <c r="C61" s="127">
        <f>L55</f>
        <v>-15293</v>
      </c>
      <c r="D61" s="127">
        <f>M55</f>
        <v>5698</v>
      </c>
      <c r="E61" s="127">
        <f>N55</f>
        <v>-53952</v>
      </c>
      <c r="F61" s="127">
        <f>O55</f>
        <v>-33014</v>
      </c>
      <c r="J61" s="109" t="s">
        <v>192</v>
      </c>
      <c r="K61" s="127">
        <f>VLOOKUP(J61,'Standardized Cash Flows  '!A2:F20,2,FALSE)</f>
        <v>-9115</v>
      </c>
      <c r="L61" s="127">
        <f>VLOOKUP(K61,'Standardized Cash Flows  '!B2:G20,2,FALSE)</f>
        <v>-2987</v>
      </c>
      <c r="M61" s="127">
        <f>VLOOKUP(L61,'Standardized Cash Flows  '!C2:H20,2,FALSE)</f>
        <v>-800</v>
      </c>
      <c r="N61" s="127">
        <f>VLOOKUP(M61,'Standardized Cash Flows  '!D2:I20,2,FALSE)</f>
        <v>-8247</v>
      </c>
      <c r="O61" s="127">
        <f>VLOOKUP(N61,'Standardized Cash Flows  '!E2:J20,2,FALSE)</f>
        <v>-1914</v>
      </c>
    </row>
    <row r="62" spans="1:15">
      <c r="A62" s="152" t="s">
        <v>160</v>
      </c>
      <c r="B62" s="149">
        <f>SUM(B60:B61)</f>
        <v>859067</v>
      </c>
      <c r="C62" s="149">
        <f>SUM(C60:C61)</f>
        <v>908825</v>
      </c>
      <c r="D62" s="149">
        <f>SUM(D60:D61)</f>
        <v>724699</v>
      </c>
      <c r="E62" s="149">
        <f>SUM(E60:E61)</f>
        <v>603450</v>
      </c>
      <c r="F62" s="149">
        <f>SUM(F60:F61)</f>
        <v>565005</v>
      </c>
      <c r="J62" s="109" t="s">
        <v>193</v>
      </c>
      <c r="K62" s="127">
        <v>0</v>
      </c>
      <c r="L62" s="127">
        <v>0</v>
      </c>
      <c r="M62" s="127">
        <v>0</v>
      </c>
      <c r="N62" s="127">
        <v>0</v>
      </c>
      <c r="O62" s="127">
        <v>0</v>
      </c>
    </row>
    <row r="63" spans="1:15">
      <c r="A63" s="110" t="s">
        <v>245</v>
      </c>
      <c r="B63" s="127">
        <v>0</v>
      </c>
      <c r="C63" s="127">
        <v>0</v>
      </c>
      <c r="D63" s="127">
        <v>0</v>
      </c>
      <c r="E63" s="127">
        <v>0</v>
      </c>
      <c r="F63" s="127">
        <v>0</v>
      </c>
      <c r="J63" s="109" t="s">
        <v>194</v>
      </c>
      <c r="K63" s="127">
        <f>VLOOKUP(J63,'Standardized Cash Flows  '!A4:F22,2,FALSE)</f>
        <v>-1066782</v>
      </c>
      <c r="L63" s="127">
        <f>VLOOKUP(K63,'Standardized Cash Flows  '!B4:G22,2,FALSE)</f>
        <v>-979535</v>
      </c>
      <c r="M63" s="127">
        <f>VLOOKUP(L63,'Standardized Cash Flows  '!C4:H22,2,FALSE)</f>
        <v>-748279</v>
      </c>
      <c r="N63" s="127">
        <f>VLOOKUP(M63,'Standardized Cash Flows  '!D4:I22,2,FALSE)</f>
        <v>-727418</v>
      </c>
      <c r="O63" s="127">
        <f>VLOOKUP(N63,'Standardized Cash Flows  '!E4:J22,2,FALSE)</f>
        <v>-450399</v>
      </c>
    </row>
    <row r="64" spans="1:15">
      <c r="A64" s="110" t="s">
        <v>246</v>
      </c>
      <c r="B64" s="127">
        <v>0</v>
      </c>
      <c r="C64" s="127">
        <v>0</v>
      </c>
      <c r="D64" s="127">
        <v>0</v>
      </c>
      <c r="E64" s="127">
        <v>0</v>
      </c>
      <c r="F64" s="127">
        <v>0</v>
      </c>
      <c r="J64" s="112" t="s">
        <v>319</v>
      </c>
      <c r="K64" s="149">
        <f>SUM(K59:K63)</f>
        <v>3633</v>
      </c>
      <c r="L64" s="149">
        <f>SUM(L59:L63)</f>
        <v>4168</v>
      </c>
      <c r="M64" s="149">
        <f>SUM(M59:M63)</f>
        <v>-119569</v>
      </c>
      <c r="N64" s="149">
        <f>SUM(N59:N63)</f>
        <v>26999</v>
      </c>
      <c r="O64" s="149">
        <f>SUM(O59:O63)</f>
        <v>38039</v>
      </c>
    </row>
    <row r="65" spans="1:6" ht="31.5">
      <c r="A65" s="153" t="s">
        <v>247</v>
      </c>
      <c r="B65" s="127">
        <f>K56</f>
        <v>-139395</v>
      </c>
      <c r="C65" s="127">
        <f>L56</f>
        <v>-314108</v>
      </c>
      <c r="D65" s="127">
        <f>M56</f>
        <v>-100360</v>
      </c>
      <c r="E65" s="127">
        <f>N56</f>
        <v>-99083</v>
      </c>
      <c r="F65" s="127">
        <f>O56</f>
        <v>-138944</v>
      </c>
    </row>
    <row r="66" spans="1:6">
      <c r="A66" s="152" t="s">
        <v>161</v>
      </c>
      <c r="B66" s="149">
        <f>SUM(B62:B65)</f>
        <v>719672</v>
      </c>
      <c r="C66" s="149">
        <f>SUM(C62:C65)</f>
        <v>594717</v>
      </c>
      <c r="D66" s="149">
        <f>SUM(D62:D65)</f>
        <v>624339</v>
      </c>
      <c r="E66" s="149">
        <f>SUM(E62:E65)</f>
        <v>504367</v>
      </c>
      <c r="F66" s="149">
        <f>SUM(F62:F65)</f>
        <v>426061</v>
      </c>
    </row>
    <row r="67" spans="1:6">
      <c r="A67" s="110" t="s">
        <v>248</v>
      </c>
      <c r="B67" s="127">
        <f>K61</f>
        <v>-9115</v>
      </c>
      <c r="C67" s="127">
        <f>L61</f>
        <v>-2987</v>
      </c>
      <c r="D67" s="127">
        <f>M61</f>
        <v>-800</v>
      </c>
      <c r="E67" s="127">
        <f>N61</f>
        <v>-8247</v>
      </c>
      <c r="F67" s="127">
        <f>O61</f>
        <v>-1914</v>
      </c>
    </row>
    <row r="68" spans="1:6">
      <c r="A68" s="110" t="s">
        <v>249</v>
      </c>
      <c r="B68" s="127">
        <f>K60</f>
        <v>359858</v>
      </c>
      <c r="C68" s="127">
        <f>L60</f>
        <v>391973</v>
      </c>
      <c r="D68" s="127">
        <f>M60</f>
        <v>5171</v>
      </c>
      <c r="E68" s="127">
        <f>N60</f>
        <v>258297</v>
      </c>
      <c r="F68" s="127">
        <f>O60</f>
        <v>64291</v>
      </c>
    </row>
    <row r="69" spans="1:6">
      <c r="A69" s="152" t="s">
        <v>162</v>
      </c>
      <c r="B69" s="149">
        <f>SUM(B66:B68)</f>
        <v>1070415</v>
      </c>
      <c r="C69" s="149">
        <f>SUM(C66:C68)</f>
        <v>983703</v>
      </c>
      <c r="D69" s="149">
        <f>SUM(D66:D68)</f>
        <v>628710</v>
      </c>
      <c r="E69" s="149">
        <f>SUM(E66:E68)</f>
        <v>754417</v>
      </c>
      <c r="F69" s="149">
        <f>SUM(F66:F68)</f>
        <v>488438</v>
      </c>
    </row>
    <row r="70" spans="1:6">
      <c r="A70" s="110" t="s">
        <v>193</v>
      </c>
      <c r="B70" s="127">
        <v>0</v>
      </c>
      <c r="C70" s="127">
        <v>0</v>
      </c>
      <c r="D70" s="127">
        <v>0</v>
      </c>
      <c r="E70" s="127">
        <v>0</v>
      </c>
      <c r="F70" s="127">
        <v>0</v>
      </c>
    </row>
    <row r="71" spans="1:6">
      <c r="A71" s="110" t="s">
        <v>163</v>
      </c>
      <c r="B71" s="127">
        <f>K63</f>
        <v>-1066782</v>
      </c>
      <c r="C71" s="127">
        <f>L63</f>
        <v>-979535</v>
      </c>
      <c r="D71" s="127">
        <f>M63</f>
        <v>-748279</v>
      </c>
      <c r="E71" s="127">
        <f>N63</f>
        <v>-727418</v>
      </c>
      <c r="F71" s="127">
        <f>O63</f>
        <v>-450399</v>
      </c>
    </row>
    <row r="72" spans="1:6">
      <c r="A72" s="152" t="s">
        <v>164</v>
      </c>
      <c r="B72" s="149">
        <f>SUM(B69:B71)</f>
        <v>3633</v>
      </c>
      <c r="C72" s="149">
        <f>SUM(C69:C71)</f>
        <v>4168</v>
      </c>
      <c r="D72" s="149">
        <f>SUM(D69:D71)</f>
        <v>-119569</v>
      </c>
      <c r="E72" s="149">
        <f>SUM(E69:E71)</f>
        <v>26999</v>
      </c>
      <c r="F72" s="149">
        <f>SUM(F69:F71)</f>
        <v>38039</v>
      </c>
    </row>
  </sheetData>
  <dataValidations count="1">
    <dataValidation type="list" allowBlank="1" showInputMessage="1" showErrorMessage="1" sqref="J50" xr:uid="{7D8B0937-4322-4428-A7C1-0B202D591EB6}">
      <formula1>$A$53:$A$72</formula1>
    </dataValidation>
  </dataValidations>
  <pageMargins left="0.7" right="0.7" top="0.75" bottom="0.75" header="0.3" footer="0.3"/>
  <pageSetup orientation="portrait" r:id="rId1"/>
  <ignoredErrors>
    <ignoredError sqref="K59:O5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6EC72-C9BB-4675-A584-55C4FF5B1D05}">
  <dimension ref="A1:F88"/>
  <sheetViews>
    <sheetView tabSelected="1" topLeftCell="A134" workbookViewId="0">
      <selection activeCell="B88" sqref="B88"/>
    </sheetView>
  </sheetViews>
  <sheetFormatPr defaultRowHeight="15.75"/>
  <cols>
    <col min="1" max="1" width="35.85546875" style="156" bestFit="1" customWidth="1"/>
    <col min="2" max="2" width="11.85546875" style="156" bestFit="1" customWidth="1"/>
    <col min="3" max="5" width="9.140625" style="156" bestFit="1" customWidth="1"/>
    <col min="6" max="16384" width="9.140625" style="156"/>
  </cols>
  <sheetData>
    <row r="1" spans="1:5">
      <c r="A1" s="438" t="s">
        <v>325</v>
      </c>
      <c r="B1" s="438"/>
      <c r="C1" s="438"/>
      <c r="D1" s="438"/>
      <c r="E1" s="438"/>
    </row>
    <row r="2" spans="1:5">
      <c r="A2" s="157" t="s">
        <v>250</v>
      </c>
      <c r="B2" s="157" t="s">
        <v>15</v>
      </c>
      <c r="C2" s="157" t="s">
        <v>14</v>
      </c>
      <c r="D2" s="157" t="s">
        <v>13</v>
      </c>
      <c r="E2" s="157" t="s">
        <v>12</v>
      </c>
    </row>
    <row r="3" spans="1:5">
      <c r="A3" s="154" t="s">
        <v>251</v>
      </c>
      <c r="B3" s="169">
        <f>'Appendix Statements'!B21/AVERAGE('Appendix Statements'!B53:C53)</f>
        <v>8.893371522929046</v>
      </c>
      <c r="C3" s="169">
        <f>'Appendix Statements'!C21/AVERAGE('Appendix Statements'!C53:D53)</f>
        <v>3.3868829498608224</v>
      </c>
      <c r="D3" s="169">
        <f>'Appendix Statements'!D21/AVERAGE('Appendix Statements'!D53:E53)</f>
        <v>1.7136533253726252</v>
      </c>
      <c r="E3" s="169">
        <f>'Appendix Statements'!E21/AVERAGE('Appendix Statements'!E53:F53)</f>
        <v>1.1101803148461236</v>
      </c>
    </row>
    <row r="5" spans="1:5">
      <c r="A5" s="438" t="s">
        <v>324</v>
      </c>
      <c r="B5" s="438"/>
      <c r="C5" s="438"/>
      <c r="D5" s="438"/>
      <c r="E5" s="438"/>
    </row>
    <row r="6" spans="1:5">
      <c r="A6" s="157" t="s">
        <v>250</v>
      </c>
      <c r="B6" s="157" t="s">
        <v>15</v>
      </c>
      <c r="C6" s="157" t="s">
        <v>14</v>
      </c>
      <c r="D6" s="157" t="s">
        <v>13</v>
      </c>
      <c r="E6" s="157" t="s">
        <v>12</v>
      </c>
    </row>
    <row r="7" spans="1:5">
      <c r="A7" s="158" t="s">
        <v>252</v>
      </c>
      <c r="B7" s="169">
        <f>'Appendix Statements'!B21/'Appendix Statements'!B3</f>
        <v>0.22259356498148206</v>
      </c>
      <c r="C7" s="169">
        <f>'Appendix Statements'!C21/'Appendix Statements'!C3</f>
        <v>0.20683148956543024</v>
      </c>
      <c r="D7" s="169">
        <f>'Appendix Statements'!D21/'Appendix Statements'!D3</f>
        <v>0.19536610055111911</v>
      </c>
      <c r="E7" s="169">
        <f>'Appendix Statements'!E21/'Appendix Statements'!E3</f>
        <v>0.18649847174083278</v>
      </c>
    </row>
    <row r="8" spans="1:5">
      <c r="A8" s="158" t="s">
        <v>253</v>
      </c>
      <c r="B8" s="164">
        <f>'Appendix Statements'!B3/AVERAGE('Appendix Statements'!K34:L34)</f>
        <v>1.1496108117192165</v>
      </c>
      <c r="C8" s="164">
        <f>'Appendix Statements'!C3/AVERAGE('Appendix Statements'!L34:M34)</f>
        <v>1.2107864935819455</v>
      </c>
      <c r="D8" s="164">
        <f>'Appendix Statements'!D3/AVERAGE('Appendix Statements'!M34:N34)</f>
        <v>1.1010879981155879</v>
      </c>
      <c r="E8" s="164">
        <f>'Appendix Statements'!E3/AVERAGE('Appendix Statements'!N34:O34)</f>
        <v>1.1126325957329728</v>
      </c>
    </row>
    <row r="9" spans="1:5">
      <c r="A9" s="159" t="s">
        <v>254</v>
      </c>
      <c r="B9" s="170">
        <f>B7*B8</f>
        <v>0.25589596892183575</v>
      </c>
      <c r="C9" s="170">
        <f t="shared" ref="C9:E9" si="0">C7*C8</f>
        <v>0.25042877401325803</v>
      </c>
      <c r="D9" s="170">
        <f t="shared" si="0"/>
        <v>0.21511526855548038</v>
      </c>
      <c r="E9" s="170">
        <f t="shared" si="0"/>
        <v>0.20750427871323526</v>
      </c>
    </row>
    <row r="10" spans="1:5">
      <c r="A10" s="158" t="s">
        <v>255</v>
      </c>
      <c r="B10" s="164">
        <f>AVERAGE('Appendix Statements'!K34:L34)/AVERAGE('Appendix Statements'!B53:C53)</f>
        <v>34.753855484318144</v>
      </c>
      <c r="C10" s="164">
        <f>AVERAGE('Appendix Statements'!L34:M34)/AVERAGE('Appendix Statements'!C53:D53)</f>
        <v>13.524336263697544</v>
      </c>
      <c r="D10" s="164">
        <f>AVERAGE('Appendix Statements'!M34:N34)/AVERAGE('Appendix Statements'!D53:E53)</f>
        <v>7.9662096367216098</v>
      </c>
      <c r="E10" s="164">
        <f>AVERAGE('Appendix Statements'!N34:O34)/AVERAGE('Appendix Statements'!E53:F53)</f>
        <v>5.3501562557192361</v>
      </c>
    </row>
    <row r="11" spans="1:5">
      <c r="A11" s="159" t="s">
        <v>256</v>
      </c>
      <c r="B11" s="170">
        <f>B9*B10</f>
        <v>8.893371522929046</v>
      </c>
      <c r="C11" s="170">
        <f t="shared" ref="C11:E11" si="1">C9*C10</f>
        <v>3.3868829498608224</v>
      </c>
      <c r="D11" s="170">
        <f t="shared" si="1"/>
        <v>1.7136533253726249</v>
      </c>
      <c r="E11" s="170">
        <f t="shared" si="1"/>
        <v>1.1101803148461236</v>
      </c>
    </row>
    <row r="13" spans="1:5">
      <c r="A13" s="439" t="s">
        <v>323</v>
      </c>
      <c r="B13" s="439"/>
      <c r="C13" s="439"/>
      <c r="D13" s="439"/>
      <c r="E13" s="439"/>
    </row>
    <row r="14" spans="1:5">
      <c r="A14" s="157" t="s">
        <v>250</v>
      </c>
      <c r="B14" s="157" t="s">
        <v>15</v>
      </c>
      <c r="C14" s="157" t="s">
        <v>14</v>
      </c>
      <c r="D14" s="157" t="s">
        <v>13</v>
      </c>
      <c r="E14" s="157" t="s">
        <v>12</v>
      </c>
    </row>
    <row r="15" spans="1:5">
      <c r="A15" s="158" t="s">
        <v>257</v>
      </c>
      <c r="B15" s="169">
        <f>'Appendix Statements'!B8/'Appendix Statements'!B3</f>
        <v>0.25896953319748989</v>
      </c>
      <c r="C15" s="169">
        <f>'Appendix Statements'!C8/'Appendix Statements'!C3</f>
        <v>0.24358894062018382</v>
      </c>
      <c r="D15" s="169">
        <f>'Appendix Statements'!D8/'Appendix Statements'!D3</f>
        <v>0.23192222358717182</v>
      </c>
      <c r="E15" s="169">
        <f>'Appendix Statements'!E8/'Appendix Statements'!E3</f>
        <v>0.22501397635884776</v>
      </c>
    </row>
    <row r="16" spans="1:5">
      <c r="A16" s="158" t="s">
        <v>258</v>
      </c>
      <c r="B16" s="164">
        <f>'Appendix Statements'!B3/AVERAGE('Appendix Statements'!B33+'Appendix Statements'!B39,'Appendix Statements'!C33+'Appendix Statements'!C39)</f>
        <v>2.1626662421714462</v>
      </c>
      <c r="C16" s="164">
        <f>'Appendix Statements'!C3/AVERAGE('Appendix Statements'!C33+'Appendix Statements'!C39,'Appendix Statements'!D33+'Appendix Statements'!D39)</f>
        <v>2.2386814840265337</v>
      </c>
      <c r="D16" s="164">
        <f>'Appendix Statements'!D3/AVERAGE('Appendix Statements'!D33+'Appendix Statements'!D39,'Appendix Statements'!E33+'Appendix Statements'!E39)</f>
        <v>1.9701071558350891</v>
      </c>
      <c r="E16" s="164">
        <f>'Appendix Statements'!E3/AVERAGE('Appendix Statements'!E33+'Appendix Statements'!E39,'Appendix Statements'!F33+'Appendix Statements'!F39)</f>
        <v>1.9121803727311928</v>
      </c>
    </row>
    <row r="17" spans="1:5">
      <c r="A17" s="159" t="s">
        <v>259</v>
      </c>
      <c r="B17" s="170">
        <f>B15*B16</f>
        <v>0.56006466719710901</v>
      </c>
      <c r="C17" s="170">
        <f t="shared" ref="C17:E17" si="2">C15*C16</f>
        <v>0.54531805108004427</v>
      </c>
      <c r="D17" s="170">
        <f t="shared" si="2"/>
        <v>0.45691163228627268</v>
      </c>
      <c r="E17" s="170">
        <f t="shared" si="2"/>
        <v>0.4302673091835893</v>
      </c>
    </row>
    <row r="18" spans="1:5">
      <c r="A18" s="158"/>
      <c r="B18" s="169"/>
      <c r="C18" s="169"/>
      <c r="D18" s="169"/>
      <c r="E18" s="169"/>
    </row>
    <row r="19" spans="1:5">
      <c r="A19" s="160" t="s">
        <v>260</v>
      </c>
      <c r="B19" s="169">
        <f>B17</f>
        <v>0.56006466719710901</v>
      </c>
      <c r="C19" s="169">
        <f t="shared" ref="C19:E19" si="3">C17</f>
        <v>0.54531805108004427</v>
      </c>
      <c r="D19" s="169">
        <f t="shared" si="3"/>
        <v>0.45691163228627268</v>
      </c>
      <c r="E19" s="169">
        <f t="shared" si="3"/>
        <v>0.4302673091835893</v>
      </c>
    </row>
    <row r="20" spans="1:5" ht="30">
      <c r="A20" s="160" t="s">
        <v>261</v>
      </c>
      <c r="B20" s="165">
        <f>AVERAGE('Appendix Statements'!B33+'Appendix Statements'!B39,'Appendix Statements'!C33+'Appendix Statements'!C39)/AVERAGE('Appendix Statements'!B44:C44)</f>
        <v>0.93120328872836011</v>
      </c>
      <c r="C20" s="165">
        <f>AVERAGE('Appendix Statements'!C33+'Appendix Statements'!C39,'Appendix Statements'!D33+'Appendix Statements'!D39)/AVERAGE('Appendix Statements'!C44:D44)</f>
        <v>0.95706893387146463</v>
      </c>
      <c r="D20" s="165">
        <f>AVERAGE('Appendix Statements'!D33+'Appendix Statements'!D39,'Appendix Statements'!E33+'Appendix Statements'!E39)/AVERAGE('Appendix Statements'!D44:E44)</f>
        <v>0.94077342840424816</v>
      </c>
      <c r="E20" s="165">
        <f>AVERAGE('Appendix Statements'!E33+'Appendix Statements'!E39,'Appendix Statements'!F33+'Appendix Statements'!F39)/AVERAGE('Appendix Statements'!E44:F44)</f>
        <v>0.94308137374308909</v>
      </c>
    </row>
    <row r="21" spans="1:5" ht="30">
      <c r="A21" s="161" t="s">
        <v>262</v>
      </c>
      <c r="B21" s="166">
        <f>'Appendix Statements'!B13/AVERAGE('Appendix Statements'!B43,'Appendix Statements'!C43)</f>
        <v>0</v>
      </c>
      <c r="C21" s="166">
        <f>'Appendix Statements'!C13/AVERAGE('Appendix Statements'!C43,'Appendix Statements'!D43)</f>
        <v>0</v>
      </c>
      <c r="D21" s="166">
        <f>'Appendix Statements'!D13/AVERAGE('Appendix Statements'!D43,'Appendix Statements'!E43)</f>
        <v>0</v>
      </c>
      <c r="E21" s="166">
        <f>'Appendix Statements'!E13/AVERAGE('Appendix Statements'!E43,'Appendix Statements'!F43)</f>
        <v>0</v>
      </c>
    </row>
    <row r="22" spans="1:5" ht="30">
      <c r="A22" s="160" t="s">
        <v>263</v>
      </c>
      <c r="B22" s="167">
        <f>1-B20</f>
        <v>6.8796711271639888E-2</v>
      </c>
      <c r="C22" s="167">
        <f t="shared" ref="C22:E22" si="4">1-C20</f>
        <v>4.2931066128535367E-2</v>
      </c>
      <c r="D22" s="167">
        <f t="shared" si="4"/>
        <v>5.9226571595751842E-2</v>
      </c>
      <c r="E22" s="167">
        <f t="shared" si="4"/>
        <v>5.6918626256910909E-2</v>
      </c>
    </row>
    <row r="23" spans="1:5">
      <c r="A23" s="162" t="s">
        <v>264</v>
      </c>
      <c r="B23" s="171">
        <f>(B19*B20)+(B21*B22)</f>
        <v>0.52153405999450242</v>
      </c>
      <c r="C23" s="171">
        <f t="shared" ref="C23:E23" si="5">(C19*C20)+(C21*C22)</f>
        <v>0.52190696576804285</v>
      </c>
      <c r="D23" s="171">
        <f>(D19*D20)+(D21*D22)</f>
        <v>0.42985032278373791</v>
      </c>
      <c r="E23" s="171">
        <f t="shared" si="5"/>
        <v>0.40577708502160187</v>
      </c>
    </row>
    <row r="24" spans="1:5">
      <c r="A24" s="160"/>
      <c r="B24" s="155"/>
      <c r="C24" s="155"/>
      <c r="D24" s="155"/>
      <c r="E24" s="155"/>
    </row>
    <row r="25" spans="1:5">
      <c r="A25" s="160" t="s">
        <v>265</v>
      </c>
      <c r="B25" s="172">
        <f>B23-AVERAGE('Appendix Statements'!B17,'Appendix Statements'!C17)/AVERAGE('Appendix Statements'!B49,'Appendix Statements'!C49)</f>
        <v>0.4459905315095346</v>
      </c>
      <c r="C25" s="172">
        <f>C23-AVERAGE('Appendix Statements'!C17,'Appendix Statements'!D17)/AVERAGE('Appendix Statements'!C49,'Appendix Statements'!D49)</f>
        <v>0.43921202774024648</v>
      </c>
      <c r="D25" s="172">
        <f>D23-AVERAGE('Appendix Statements'!D17,'Appendix Statements'!E17)/AVERAGE('Appendix Statements'!D49,'Appendix Statements'!E49)</f>
        <v>0.34276456423242851</v>
      </c>
      <c r="E25" s="172">
        <f>E23-AVERAGE('Appendix Statements'!E17,'Appendix Statements'!F17)/AVERAGE('Appendix Statements'!E49,'Appendix Statements'!F49)</f>
        <v>0.30713096215093066</v>
      </c>
    </row>
    <row r="26" spans="1:5">
      <c r="A26" s="160" t="s">
        <v>266</v>
      </c>
      <c r="B26" s="168">
        <f>AVERAGE('Appendix Statements'!B49,'Appendix Statements'!C49)/AVERAGE('Appendix Statements'!B53,'Appendix Statements'!C53)</f>
        <v>18.83900231380024</v>
      </c>
      <c r="C26" s="168">
        <f>AVERAGE('Appendix Statements'!C49,'Appendix Statements'!D49)/AVERAGE('Appendix Statements'!C53,'Appendix Statements'!D53)</f>
        <v>6.6427209224481167</v>
      </c>
      <c r="D26" s="168">
        <f>AVERAGE('Appendix Statements'!D49,'Appendix Statements'!E49)/AVERAGE('Appendix Statements'!D53,'Appendix Statements'!E53)</f>
        <v>3.7325898600479066</v>
      </c>
      <c r="E26" s="168">
        <f>AVERAGE('Appendix Statements'!E49,'Appendix Statements'!F49)/AVERAGE('Appendix Statements'!E53,'Appendix Statements'!F53)</f>
        <v>2.3009596940375507</v>
      </c>
    </row>
    <row r="27" spans="1:5">
      <c r="A27" s="163" t="s">
        <v>267</v>
      </c>
      <c r="B27" s="171">
        <f>B25*B26</f>
        <v>8.4020166550411215</v>
      </c>
      <c r="C27" s="171">
        <f t="shared" ref="C27:E27" si="6">C25*C26</f>
        <v>2.9175629260609979</v>
      </c>
      <c r="D27" s="171">
        <f t="shared" si="6"/>
        <v>1.279399536837702</v>
      </c>
      <c r="E27" s="171">
        <f t="shared" si="6"/>
        <v>0.70669596470026397</v>
      </c>
    </row>
    <row r="28" spans="1:5">
      <c r="A28" s="160"/>
      <c r="B28" s="172"/>
      <c r="C28" s="172"/>
      <c r="D28" s="172"/>
      <c r="E28" s="172"/>
    </row>
    <row r="29" spans="1:5" ht="30">
      <c r="A29" s="163" t="s">
        <v>268</v>
      </c>
      <c r="B29" s="173">
        <f>B27+B23</f>
        <v>8.9235507150356241</v>
      </c>
      <c r="C29" s="173">
        <f t="shared" ref="C29:E29" si="7">C27+C23</f>
        <v>3.4394698918290407</v>
      </c>
      <c r="D29" s="173">
        <f t="shared" si="7"/>
        <v>1.70924985962144</v>
      </c>
      <c r="E29" s="173">
        <f t="shared" si="7"/>
        <v>1.1124730497218658</v>
      </c>
    </row>
    <row r="31" spans="1:5">
      <c r="A31" s="437" t="s">
        <v>326</v>
      </c>
      <c r="B31" s="437"/>
      <c r="C31" s="437"/>
      <c r="D31" s="437"/>
      <c r="E31" s="437"/>
    </row>
    <row r="32" spans="1:5">
      <c r="A32" s="157" t="s">
        <v>250</v>
      </c>
      <c r="B32" s="157" t="s">
        <v>15</v>
      </c>
      <c r="C32" s="157" t="s">
        <v>14</v>
      </c>
      <c r="D32" s="157" t="s">
        <v>13</v>
      </c>
      <c r="E32" s="157" t="s">
        <v>12</v>
      </c>
    </row>
    <row r="33" spans="1:5">
      <c r="A33" s="159" t="s">
        <v>269</v>
      </c>
      <c r="B33" s="154"/>
      <c r="C33" s="154"/>
      <c r="D33" s="154"/>
      <c r="E33" s="154"/>
    </row>
    <row r="34" spans="1:5">
      <c r="A34" s="158" t="s">
        <v>165</v>
      </c>
      <c r="B34" s="155">
        <f>'Appendix Statements'!B3/'Appendix Statements'!B3</f>
        <v>1</v>
      </c>
      <c r="C34" s="155">
        <f>'Appendix Statements'!C3/'Appendix Statements'!C3</f>
        <v>1</v>
      </c>
      <c r="D34" s="155">
        <f>'Appendix Statements'!D3/'Appendix Statements'!D3</f>
        <v>1</v>
      </c>
      <c r="E34" s="155">
        <f>'Appendix Statements'!E3/'Appendix Statements'!E3</f>
        <v>1</v>
      </c>
    </row>
    <row r="35" spans="1:5">
      <c r="A35" s="158" t="s">
        <v>270</v>
      </c>
      <c r="B35" s="174">
        <f>'Appendix Statements'!K4/'Appendix Statements'!K3</f>
        <v>-0.68168198200427632</v>
      </c>
      <c r="C35" s="174">
        <f>'Appendix Statements'!L4/'Appendix Statements'!L3</f>
        <v>-0.69899191216617851</v>
      </c>
      <c r="D35" s="174">
        <f>'Appendix Statements'!M4/'Appendix Statements'!M3</f>
        <v>-0.71189821524016283</v>
      </c>
      <c r="E35" s="174">
        <f>'Appendix Statements'!N4/'Appendix Statements'!N3</f>
        <v>-0.72567648235821225</v>
      </c>
    </row>
    <row r="36" spans="1:5">
      <c r="A36" s="158" t="s">
        <v>271</v>
      </c>
      <c r="B36" s="175">
        <v>0</v>
      </c>
      <c r="C36" s="175">
        <v>0</v>
      </c>
      <c r="D36" s="175">
        <v>0</v>
      </c>
      <c r="E36" s="175">
        <v>0</v>
      </c>
    </row>
    <row r="37" spans="1:5">
      <c r="A37" s="159" t="s">
        <v>272</v>
      </c>
      <c r="B37" s="170">
        <f>SUM(B34:B36)</f>
        <v>0.31831801799572368</v>
      </c>
      <c r="C37" s="170">
        <f t="shared" ref="C37:E37" si="8">SUM(C34:C36)</f>
        <v>0.30100808783382149</v>
      </c>
      <c r="D37" s="170">
        <f t="shared" si="8"/>
        <v>0.28810178475983717</v>
      </c>
      <c r="E37" s="170">
        <f t="shared" si="8"/>
        <v>0.27432351764178775</v>
      </c>
    </row>
    <row r="38" spans="1:5">
      <c r="A38" s="158" t="s">
        <v>273</v>
      </c>
      <c r="B38" s="176">
        <v>0</v>
      </c>
      <c r="C38" s="176">
        <v>0</v>
      </c>
      <c r="D38" s="176">
        <v>0</v>
      </c>
      <c r="E38" s="176">
        <v>0</v>
      </c>
    </row>
    <row r="39" spans="1:5">
      <c r="A39" s="158" t="s">
        <v>274</v>
      </c>
      <c r="B39" s="169">
        <f>'Appendix Statements'!K7/'Appendix Statements'!K3</f>
        <v>4.5187538156531516E-2</v>
      </c>
      <c r="C39" s="169">
        <f>'Appendix Statements'!L7/'Appendix Statements'!L3</f>
        <v>4.5661429881681474E-2</v>
      </c>
      <c r="D39" s="169">
        <f>'Appendix Statements'!M7/'Appendix Statements'!M3</f>
        <v>4.5411332964040638E-2</v>
      </c>
      <c r="E39" s="169">
        <f>'Appendix Statements'!N7/'Appendix Statements'!N3</f>
        <v>4.78453473515714E-2</v>
      </c>
    </row>
    <row r="40" spans="1:5">
      <c r="A40" s="158" t="s">
        <v>275</v>
      </c>
      <c r="B40" s="169">
        <f>'Appendix Statements'!K9/'Appendix Statements'!K3</f>
        <v>5.05369148577101E-2</v>
      </c>
      <c r="C40" s="169">
        <f>'Appendix Statements'!L9/'Appendix Statements'!L3</f>
        <v>4.8515168386709807E-2</v>
      </c>
      <c r="D40" s="169">
        <f>'Appendix Statements'!M9/'Appendix Statements'!M3</f>
        <v>4.7324351244677369E-2</v>
      </c>
      <c r="E40" s="169">
        <f>'Appendix Statements'!N9/'Appendix Statements'!N3</f>
        <v>3.9979698549383574E-2</v>
      </c>
    </row>
    <row r="41" spans="1:5">
      <c r="A41" s="159" t="s">
        <v>200</v>
      </c>
      <c r="B41" s="170">
        <f>B37-B38-B39-B40</f>
        <v>0.22259356498148203</v>
      </c>
      <c r="C41" s="170">
        <f t="shared" ref="C41:E41" si="9">C37-C38-C39-C40</f>
        <v>0.20683148956543021</v>
      </c>
      <c r="D41" s="170">
        <f t="shared" si="9"/>
        <v>0.19536610055111914</v>
      </c>
      <c r="E41" s="170">
        <f t="shared" si="9"/>
        <v>0.18649847174083278</v>
      </c>
    </row>
    <row r="42" spans="1:5" ht="30">
      <c r="A42" s="159" t="s">
        <v>276</v>
      </c>
      <c r="B42" s="155"/>
      <c r="C42" s="155"/>
      <c r="D42" s="155"/>
      <c r="E42" s="155"/>
    </row>
    <row r="43" spans="1:5">
      <c r="A43" s="158" t="s">
        <v>19</v>
      </c>
      <c r="B43" s="177">
        <f>'Appendix Statements'!K15/'Appendix Statements'!K3</f>
        <v>-0.41117006390015176</v>
      </c>
      <c r="C43" s="177">
        <f>'Appendix Statements'!L15/'Appendix Statements'!L3</f>
        <v>-0.41592418361830374</v>
      </c>
      <c r="D43" s="177">
        <f>'Appendix Statements'!M15/'Appendix Statements'!M3</f>
        <v>-0.4162309002044291</v>
      </c>
      <c r="E43" s="177">
        <f>'Appendix Statements'!N15/'Appendix Statements'!N3</f>
        <v>-0.42126540390846134</v>
      </c>
    </row>
    <row r="44" spans="1:5" ht="30">
      <c r="A44" s="158" t="s">
        <v>277</v>
      </c>
      <c r="B44" s="177">
        <f>'Appendix Statements'!K16/'Appendix Statements'!K3</f>
        <v>-0.23942108967783068</v>
      </c>
      <c r="C44" s="177">
        <f>'Appendix Statements'!L16/'Appendix Statements'!L3</f>
        <v>-0.25389827134991783</v>
      </c>
      <c r="D44" s="177">
        <f>'Appendix Statements'!M16/'Appendix Statements'!M3</f>
        <v>-0.26585865251815372</v>
      </c>
      <c r="E44" s="177">
        <f>'Appendix Statements'!N16/'Appendix Statements'!N3</f>
        <v>-0.27227575671762638</v>
      </c>
    </row>
    <row r="45" spans="1:5" ht="30">
      <c r="A45" s="178" t="s">
        <v>285</v>
      </c>
      <c r="B45" s="177">
        <f>'Appendix Statements'!K17/'Appendix Statements'!K3</f>
        <v>-3.109082842629389E-2</v>
      </c>
      <c r="C45" s="177">
        <f>'Appendix Statements'!L17/'Appendix Statements'!L3</f>
        <v>-2.9169457197956928E-2</v>
      </c>
      <c r="D45" s="177">
        <f>'Appendix Statements'!M17/'Appendix Statements'!M3</f>
        <v>-2.9808662517580027E-2</v>
      </c>
      <c r="E45" s="177">
        <f>'Appendix Statements'!N17/'Appendix Statements'!N3</f>
        <v>-3.213532173212455E-2</v>
      </c>
    </row>
    <row r="46" spans="1:5" ht="30">
      <c r="A46" s="159" t="s">
        <v>278</v>
      </c>
      <c r="B46" s="155"/>
      <c r="C46" s="155"/>
      <c r="D46" s="155"/>
      <c r="E46" s="155"/>
    </row>
    <row r="47" spans="1:5">
      <c r="A47" s="158" t="s">
        <v>279</v>
      </c>
      <c r="B47" s="169">
        <f>'Standardized Income Statement'!B7/'Standardized Income Statement'!B3</f>
        <v>4.5187538156531516E-2</v>
      </c>
      <c r="C47" s="169">
        <f>'Standardized Income Statement'!C7/'Standardized Income Statement'!C3</f>
        <v>4.5661429881681474E-2</v>
      </c>
      <c r="D47" s="169">
        <f>'Standardized Income Statement'!D7/'Standardized Income Statement'!D3</f>
        <v>4.5411332964040638E-2</v>
      </c>
      <c r="E47" s="169">
        <f>'Standardized Income Statement'!E7/'Standardized Income Statement'!E3</f>
        <v>4.78453473515714E-2</v>
      </c>
    </row>
    <row r="48" spans="1:5">
      <c r="A48" s="159" t="s">
        <v>280</v>
      </c>
      <c r="B48" s="169"/>
      <c r="C48" s="169"/>
      <c r="D48" s="169"/>
      <c r="E48" s="169"/>
    </row>
    <row r="49" spans="1:5">
      <c r="A49" s="158" t="s">
        <v>281</v>
      </c>
      <c r="B49" s="169">
        <f>IF(B43&lt;0,B34+B43,"NA")</f>
        <v>0.58882993609984824</v>
      </c>
      <c r="C49" s="169">
        <f t="shared" ref="C49:E49" si="10">IF(C43&lt;0,C34+C43,"NA")</f>
        <v>0.58407581638169626</v>
      </c>
      <c r="D49" s="169">
        <f t="shared" si="10"/>
        <v>0.5837690997955709</v>
      </c>
      <c r="E49" s="169">
        <f t="shared" si="10"/>
        <v>0.57873459609153866</v>
      </c>
    </row>
    <row r="50" spans="1:5">
      <c r="A50" s="158" t="s">
        <v>282</v>
      </c>
      <c r="B50" s="169">
        <f>SUM(B36:B37)</f>
        <v>0.31831801799572368</v>
      </c>
      <c r="C50" s="169">
        <f t="shared" ref="C50:E50" si="11">SUM(C36:C37)</f>
        <v>0.30100808783382149</v>
      </c>
      <c r="D50" s="169">
        <f t="shared" si="11"/>
        <v>0.28810178475983717</v>
      </c>
      <c r="E50" s="169">
        <f t="shared" si="11"/>
        <v>0.27432351764178775</v>
      </c>
    </row>
    <row r="51" spans="1:5">
      <c r="A51" s="158" t="s">
        <v>283</v>
      </c>
      <c r="B51" s="169">
        <f>B15</f>
        <v>0.25896953319748989</v>
      </c>
      <c r="C51" s="169">
        <f t="shared" ref="C51:E51" si="12">C15</f>
        <v>0.24358894062018382</v>
      </c>
      <c r="D51" s="169">
        <f t="shared" si="12"/>
        <v>0.23192222358717182</v>
      </c>
      <c r="E51" s="169">
        <f t="shared" si="12"/>
        <v>0.22501397635884776</v>
      </c>
    </row>
    <row r="52" spans="1:5">
      <c r="A52" s="158" t="s">
        <v>284</v>
      </c>
      <c r="B52" s="169">
        <f>B7</f>
        <v>0.22259356498148206</v>
      </c>
      <c r="C52" s="169">
        <f t="shared" ref="C52:E52" si="13">C7</f>
        <v>0.20683148956543024</v>
      </c>
      <c r="D52" s="169">
        <f t="shared" si="13"/>
        <v>0.19536610055111911</v>
      </c>
      <c r="E52" s="169">
        <f t="shared" si="13"/>
        <v>0.18649847174083278</v>
      </c>
    </row>
    <row r="54" spans="1:5">
      <c r="A54" s="437" t="s">
        <v>327</v>
      </c>
      <c r="B54" s="437"/>
      <c r="C54" s="437"/>
      <c r="D54" s="437"/>
      <c r="E54" s="437"/>
    </row>
    <row r="55" spans="1:5">
      <c r="A55" s="157" t="s">
        <v>250</v>
      </c>
      <c r="B55" s="157" t="s">
        <v>15</v>
      </c>
      <c r="C55" s="157" t="s">
        <v>14</v>
      </c>
      <c r="D55" s="157" t="s">
        <v>13</v>
      </c>
      <c r="E55" s="157" t="s">
        <v>12</v>
      </c>
    </row>
    <row r="56" spans="1:5">
      <c r="A56" s="158" t="s">
        <v>286</v>
      </c>
      <c r="B56" s="169">
        <f>AVERAGE('Appendix Statements'!B33:C33)/'Appendix Statements'!B3</f>
        <v>0.11448180591977619</v>
      </c>
      <c r="C56" s="169">
        <f>AVERAGE('Appendix Statements'!C33:D33)/'Appendix Statements'!C3</f>
        <v>0.10412346251812167</v>
      </c>
      <c r="D56" s="169">
        <f>AVERAGE('Appendix Statements'!D33:E33)/'Appendix Statements'!D3</f>
        <v>0.13004537989230444</v>
      </c>
      <c r="E56" s="169">
        <f>AVERAGE('Appendix Statements'!E33:F33)/'Appendix Statements'!E3</f>
        <v>0.13333224646785341</v>
      </c>
    </row>
    <row r="57" spans="1:5">
      <c r="A57" s="158" t="s">
        <v>287</v>
      </c>
      <c r="B57" s="169">
        <f>AVERAGE('Appendix Statements'!B39:C39)/'Appendix Statements'!B3</f>
        <v>0.34791039334807761</v>
      </c>
      <c r="C57" s="169">
        <f>AVERAGE('Appendix Statements'!C39:D39)/'Appendix Statements'!C3</f>
        <v>0.34256804189427986</v>
      </c>
      <c r="D57" s="169">
        <f>AVERAGE('Appendix Statements'!D39:E39)/'Appendix Statements'!D3</f>
        <v>0.37754122372881688</v>
      </c>
      <c r="E57" s="169">
        <f>AVERAGE('Appendix Statements'!E39:F39)/'Appendix Statements'!E3</f>
        <v>0.3896309709464571</v>
      </c>
    </row>
    <row r="58" spans="1:5">
      <c r="A58" s="158" t="s">
        <v>288</v>
      </c>
      <c r="B58" s="169">
        <f>AVERAGE('Appendix Statements'!B35:C35)/'Appendix Statements'!B3</f>
        <v>0.2097784554924868</v>
      </c>
      <c r="C58" s="169">
        <f>AVERAGE('Appendix Statements'!C35:D35)/'Appendix Statements'!C3</f>
        <v>0.2258736716398641</v>
      </c>
      <c r="D58" s="169">
        <f>AVERAGE('Appendix Statements'!D35:E35)/'Appendix Statements'!D3</f>
        <v>0.26357304621420424</v>
      </c>
      <c r="E58" s="169">
        <f>AVERAGE('Appendix Statements'!E35:F35)/'Appendix Statements'!E3</f>
        <v>0.2556339184458688</v>
      </c>
    </row>
    <row r="59" spans="1:5">
      <c r="A59" s="158" t="s">
        <v>289</v>
      </c>
      <c r="B59" s="164">
        <f>1/B56</f>
        <v>8.7350124499324888</v>
      </c>
      <c r="C59" s="164">
        <f t="shared" ref="C59:E59" si="14">1/C56</f>
        <v>9.6039833464619928</v>
      </c>
      <c r="D59" s="164">
        <f t="shared" si="14"/>
        <v>7.6896234285919141</v>
      </c>
      <c r="E59" s="164">
        <f t="shared" si="14"/>
        <v>7.5000611366816008</v>
      </c>
    </row>
    <row r="60" spans="1:5">
      <c r="A60" s="158" t="s">
        <v>290</v>
      </c>
      <c r="B60" s="164">
        <f>1/B57</f>
        <v>2.8743033238432729</v>
      </c>
      <c r="C60" s="164">
        <f t="shared" ref="C60:E60" si="15">1/C57</f>
        <v>2.919128108011344</v>
      </c>
      <c r="D60" s="164">
        <f t="shared" si="15"/>
        <v>2.6487173774652155</v>
      </c>
      <c r="E60" s="164">
        <f t="shared" si="15"/>
        <v>2.5665310885602559</v>
      </c>
    </row>
    <row r="61" spans="1:5">
      <c r="A61" s="158" t="s">
        <v>291</v>
      </c>
      <c r="B61" s="164">
        <f>1/B58</f>
        <v>4.766933752335758</v>
      </c>
      <c r="C61" s="164">
        <f t="shared" ref="C61:E61" si="16">1/C58</f>
        <v>4.4272534852774381</v>
      </c>
      <c r="D61" s="164">
        <f t="shared" si="16"/>
        <v>3.7940146550012019</v>
      </c>
      <c r="E61" s="164">
        <f t="shared" si="16"/>
        <v>3.9118439606117947</v>
      </c>
    </row>
    <row r="62" spans="1:5">
      <c r="A62" s="158" t="s">
        <v>292</v>
      </c>
      <c r="B62" s="164">
        <f>'Appendix Statements'!B3/AVERAGE('Appendix Statements'!B28:C28)</f>
        <v>5.7784862190562674</v>
      </c>
      <c r="C62" s="164">
        <f>'Appendix Statements'!C3/AVERAGE('Appendix Statements'!C28:D28)</f>
        <v>5.9911339860644697</v>
      </c>
      <c r="D62" s="164">
        <f>'Appendix Statements'!D3/AVERAGE('Appendix Statements'!D28:E28)</f>
        <v>5.3189726437742717</v>
      </c>
      <c r="E62" s="164">
        <f>'Appendix Statements'!E3/AVERAGE('Appendix Statements'!E28:F28)</f>
        <v>5.4614189351088775</v>
      </c>
    </row>
    <row r="63" spans="1:5">
      <c r="A63" s="158" t="s">
        <v>293</v>
      </c>
      <c r="B63" s="164">
        <f>360*(1/B62)</f>
        <v>62.300053396821042</v>
      </c>
      <c r="C63" s="164">
        <f t="shared" ref="C63:E63" si="17">360*(1/C62)</f>
        <v>60.088791343570215</v>
      </c>
      <c r="D63" s="164">
        <f t="shared" si="17"/>
        <v>67.682243190585169</v>
      </c>
      <c r="E63" s="164">
        <f t="shared" si="17"/>
        <v>65.916935557851161</v>
      </c>
    </row>
    <row r="64" spans="1:5">
      <c r="A64" s="158" t="s">
        <v>294</v>
      </c>
      <c r="B64" s="164">
        <f>('Standardized Income Statement'!B4)/AVERAGE('Appendix Statements'!B29:C29)</f>
        <v>3.7645348192147736</v>
      </c>
      <c r="C64" s="164">
        <f>('Standardized Income Statement'!C4)/AVERAGE('Appendix Statements'!C29:D29)</f>
        <v>4.3428163009686109</v>
      </c>
      <c r="D64" s="164">
        <f>('Standardized Income Statement'!D4)/AVERAGE('Appendix Statements'!D29:E29)</f>
        <v>4.4908374949291483</v>
      </c>
      <c r="E64" s="164">
        <f>('Standardized Income Statement'!E4)/AVERAGE('Appendix Statements'!E29:F29)</f>
        <v>4.6673798485010289</v>
      </c>
    </row>
    <row r="65" spans="1:6">
      <c r="A65" s="158" t="s">
        <v>295</v>
      </c>
      <c r="B65" s="164">
        <f>360*(1/B64)</f>
        <v>95.629345267974102</v>
      </c>
      <c r="C65" s="164">
        <f t="shared" ref="C65:E65" si="18">360*(1/C64)</f>
        <v>82.895516423226681</v>
      </c>
      <c r="D65" s="164">
        <f t="shared" si="18"/>
        <v>80.163221315956278</v>
      </c>
      <c r="E65" s="164">
        <f t="shared" si="18"/>
        <v>77.131069611918818</v>
      </c>
    </row>
    <row r="66" spans="1:6">
      <c r="A66" s="158" t="s">
        <v>296</v>
      </c>
      <c r="B66" s="164">
        <f>'Standardized Income Statement'!B4/AVERAGE('Appendix Statements'!B31:C31)</f>
        <v>6.1344374049622319</v>
      </c>
      <c r="C66" s="164">
        <f>'Standardized Income Statement'!C4/AVERAGE('Appendix Statements'!C31:D31)</f>
        <v>6.8925145750503667</v>
      </c>
      <c r="D66" s="164">
        <f>'Standardized Income Statement'!D4/AVERAGE('Appendix Statements'!D31:E31)</f>
        <v>7.106645673823234</v>
      </c>
      <c r="E66" s="164">
        <f>'Standardized Income Statement'!E4/AVERAGE('Appendix Statements'!E31:F31)</f>
        <v>6.631771720390442</v>
      </c>
    </row>
    <row r="67" spans="1:6">
      <c r="A67" s="158" t="s">
        <v>297</v>
      </c>
      <c r="B67" s="164">
        <f>360*(1/B66)</f>
        <v>58.685088172680842</v>
      </c>
      <c r="C67" s="164">
        <f t="shared" ref="C67:E67" si="19">360*(1/C66)</f>
        <v>52.230575079686254</v>
      </c>
      <c r="D67" s="164">
        <f t="shared" si="19"/>
        <v>50.656810051193553</v>
      </c>
      <c r="E67" s="164">
        <f t="shared" si="19"/>
        <v>54.284136302991627</v>
      </c>
    </row>
    <row r="68" spans="1:6">
      <c r="A68" s="158" t="s">
        <v>298</v>
      </c>
      <c r="B68" s="164">
        <f>B63+B65-B67</f>
        <v>99.244310492114295</v>
      </c>
      <c r="C68" s="164">
        <f t="shared" ref="C68:E68" si="20">C63+C65-C67</f>
        <v>90.753732687110642</v>
      </c>
      <c r="D68" s="164">
        <f t="shared" si="20"/>
        <v>97.188654455347887</v>
      </c>
      <c r="E68" s="164">
        <f t="shared" si="20"/>
        <v>88.763868866778338</v>
      </c>
    </row>
    <row r="70" spans="1:6">
      <c r="A70" s="437" t="s">
        <v>328</v>
      </c>
      <c r="B70" s="437"/>
      <c r="C70" s="437"/>
      <c r="D70" s="437"/>
      <c r="E70" s="437"/>
    </row>
    <row r="71" spans="1:6">
      <c r="A71" s="157" t="s">
        <v>250</v>
      </c>
      <c r="B71" s="157" t="s">
        <v>15</v>
      </c>
      <c r="C71" s="157" t="s">
        <v>14</v>
      </c>
      <c r="D71" s="157" t="s">
        <v>13</v>
      </c>
      <c r="E71" s="157" t="s">
        <v>12</v>
      </c>
    </row>
    <row r="72" spans="1:6">
      <c r="A72" s="158" t="s">
        <v>299</v>
      </c>
      <c r="B72" s="164">
        <f>AVERAGE('Standardized Balance Sheet'!B7:C7)/AVERAGE('Standardized Balance Sheet'!B18:C18)</f>
        <v>1.1526316225342363</v>
      </c>
      <c r="C72" s="164">
        <f>AVERAGE('Standardized Balance Sheet'!C7:D7)/AVERAGE('Standardized Balance Sheet'!C18:D18)</f>
        <v>1.170820362732244</v>
      </c>
      <c r="D72" s="164">
        <f>AVERAGE('Standardized Balance Sheet'!D7:E7)/AVERAGE('Standardized Balance Sheet'!D18:E18)</f>
        <v>1.3584763101479209</v>
      </c>
      <c r="E72" s="164">
        <f>AVERAGE('Standardized Balance Sheet'!E7:F7)/AVERAGE('Standardized Balance Sheet'!E18:F18)</f>
        <v>1.447673051944127</v>
      </c>
    </row>
    <row r="73" spans="1:6">
      <c r="A73" s="158" t="s">
        <v>300</v>
      </c>
      <c r="B73" s="168">
        <f>AVERAGE('Appendix Statements'!K22+'Appendix Statements'!K23,'Appendix Statements'!L22+'Appendix Statements'!L23)/AVERAGE('Standardized Balance Sheet'!B18:C18)</f>
        <v>0.67611339385224667</v>
      </c>
      <c r="C73" s="168">
        <f>AVERAGE('Appendix Statements'!L22+'Appendix Statements'!L23,'Appendix Statements'!M22+'Appendix Statements'!M23)/AVERAGE('Standardized Balance Sheet'!C18:D18)</f>
        <v>0.72172090202404293</v>
      </c>
      <c r="D73" s="168">
        <f>AVERAGE('Appendix Statements'!M22+'Appendix Statements'!M23,'Appendix Statements'!N22+'Appendix Statements'!N23)/AVERAGE('Standardized Balance Sheet'!D18:E18)</f>
        <v>0.91677216320895083</v>
      </c>
      <c r="E73" s="168">
        <f>AVERAGE('Appendix Statements'!N22+'Appendix Statements'!N23,'Appendix Statements'!O22+'Appendix Statements'!O23)/AVERAGE('Standardized Balance Sheet'!E18:F18)</f>
        <v>0.99914906249118507</v>
      </c>
    </row>
    <row r="74" spans="1:6">
      <c r="A74" s="158" t="s">
        <v>301</v>
      </c>
      <c r="B74" s="164">
        <f>AVERAGE('Appendix Statements'!K22:L22)/AVERAGE('Standardized Balance Sheet'!B18:C18)</f>
        <v>8.4789534269957015E-2</v>
      </c>
      <c r="C74" s="164">
        <f>AVERAGE('Appendix Statements'!L22:M22)/AVERAGE('Standardized Balance Sheet'!C18:D18)</f>
        <v>9.7046351916209708E-2</v>
      </c>
      <c r="D74" s="164">
        <f>AVERAGE('Appendix Statements'!M22:N22)/AVERAGE('Standardized Balance Sheet'!D18:E18)</f>
        <v>0.18938526083197113</v>
      </c>
      <c r="E74" s="164">
        <f>AVERAGE('Appendix Statements'!N22:O22)/AVERAGE('Standardized Balance Sheet'!E18:F18)</f>
        <v>0.25917326753287223</v>
      </c>
    </row>
    <row r="75" spans="1:6">
      <c r="A75" s="158" t="s">
        <v>302</v>
      </c>
      <c r="B75" s="164">
        <f>'Appendix Statements'!B62/AVERAGE('Standardized Balance Sheet'!B18:C18)</f>
        <v>0.74888079819759579</v>
      </c>
      <c r="C75" s="164">
        <f>'Appendix Statements'!C62/AVERAGE('Standardized Balance Sheet'!C18:D18)</f>
        <v>0.91483316682311078</v>
      </c>
      <c r="D75" s="164">
        <f>'Appendix Statements'!D62/AVERAGE('Standardized Balance Sheet'!D18:E18)</f>
        <v>0.90880521482105714</v>
      </c>
      <c r="E75" s="164">
        <f>'Appendix Statements'!E62/AVERAGE('Standardized Balance Sheet'!E18:F18)</f>
        <v>0.81057338546864699</v>
      </c>
    </row>
    <row r="77" spans="1:6">
      <c r="A77" s="437" t="s">
        <v>329</v>
      </c>
      <c r="B77" s="437"/>
      <c r="C77" s="437"/>
      <c r="D77" s="437"/>
      <c r="E77" s="437"/>
    </row>
    <row r="78" spans="1:6">
      <c r="A78" s="157" t="s">
        <v>250</v>
      </c>
      <c r="B78" s="157" t="s">
        <v>15</v>
      </c>
      <c r="C78" s="157" t="s">
        <v>14</v>
      </c>
      <c r="D78" s="157" t="s">
        <v>13</v>
      </c>
      <c r="E78" s="157" t="s">
        <v>12</v>
      </c>
    </row>
    <row r="79" spans="1:6">
      <c r="A79" s="158" t="s">
        <v>303</v>
      </c>
      <c r="B79" s="164">
        <f>AVERAGE('Standardized Balance Sheet'!B22:C22)/AVERAGE('Appendix Statements'!B53:C53)</f>
        <v>34.753855484318144</v>
      </c>
      <c r="C79" s="164">
        <f>AVERAGE('Standardized Balance Sheet'!C22:D22)/AVERAGE('Appendix Statements'!C53:D53)</f>
        <v>13.524336263697544</v>
      </c>
      <c r="D79" s="164">
        <f>AVERAGE('Standardized Balance Sheet'!D22:E22)/AVERAGE('Appendix Statements'!D53:E53)</f>
        <v>7.9662096367216098</v>
      </c>
      <c r="E79" s="164">
        <f>AVERAGE('Standardized Balance Sheet'!E22:F22)/AVERAGE('Appendix Statements'!E53:F53)</f>
        <v>5.3501562557192361</v>
      </c>
    </row>
    <row r="80" spans="1:6">
      <c r="A80" s="158" t="s">
        <v>304</v>
      </c>
      <c r="B80" s="164">
        <f>AVERAGE('Appendix Statements'!B49:C49)/AVERAGE('Appendix Statements'!B53:C53)</f>
        <v>18.83900231380024</v>
      </c>
      <c r="C80" s="164">
        <f>AVERAGE('Appendix Statements'!C49:D49)/AVERAGE('Appendix Statements'!C53:D53)</f>
        <v>6.6427209224481167</v>
      </c>
      <c r="D80" s="164">
        <f>AVERAGE('Appendix Statements'!D49:E49)/AVERAGE('Appendix Statements'!D53:E53)</f>
        <v>3.7325898600479066</v>
      </c>
      <c r="E80" s="164">
        <f>AVERAGE('Appendix Statements'!E49:F49)/AVERAGE('Appendix Statements'!E53:F53)</f>
        <v>2.3009596940375507</v>
      </c>
      <c r="F80" s="220"/>
    </row>
    <row r="81" spans="1:5">
      <c r="A81" s="158" t="s">
        <v>305</v>
      </c>
      <c r="B81" s="164">
        <f>AVERAGE('Appendix Statements'!B49:C49)/AVERAGE('Appendix Statements'!B54:C54)</f>
        <v>0.94959423945908872</v>
      </c>
      <c r="C81" s="164">
        <f>AVERAGE('Appendix Statements'!C49:D49)/AVERAGE('Appendix Statements'!C54:D54)</f>
        <v>0.86915654645156404</v>
      </c>
      <c r="D81" s="164">
        <f>AVERAGE('Appendix Statements'!D49:E49)/AVERAGE('Appendix Statements'!D54:E54)</f>
        <v>0.78869920496557089</v>
      </c>
      <c r="E81" s="164">
        <f>AVERAGE('Appendix Statements'!E49:F49)/AVERAGE('Appendix Statements'!E54:F54)</f>
        <v>0.69705779752286057</v>
      </c>
    </row>
    <row r="82" spans="1:5">
      <c r="A82" s="158" t="s">
        <v>306</v>
      </c>
      <c r="B82" s="164">
        <f>('Appendix Statements'!K10-'Appendix Statements'!K9-'Appendix Statements'!K7)/('Appendix Statements'!K7)</f>
        <v>2.8076128318334255</v>
      </c>
      <c r="C82" s="164">
        <f>('Appendix Statements'!L10-'Appendix Statements'!L9-'Appendix Statements'!L7)/('Appendix Statements'!L7)</f>
        <v>2.467178351377779</v>
      </c>
      <c r="D82" s="164">
        <f>('Appendix Statements'!M10-'Appendix Statements'!M9-'Appendix Statements'!M7)/('Appendix Statements'!M7)</f>
        <v>2.2600177013889882</v>
      </c>
      <c r="E82" s="164">
        <f>('Appendix Statements'!N10-'Appendix Statements'!N9-'Appendix Statements'!N7)/('Appendix Statements'!N7)</f>
        <v>2.0623410906564779</v>
      </c>
    </row>
    <row r="84" spans="1:5">
      <c r="A84" s="437" t="s">
        <v>330</v>
      </c>
      <c r="B84" s="437"/>
      <c r="C84" s="437"/>
      <c r="D84" s="437"/>
      <c r="E84" s="437"/>
    </row>
    <row r="85" spans="1:5">
      <c r="A85" s="157" t="s">
        <v>250</v>
      </c>
      <c r="B85" s="157" t="s">
        <v>15</v>
      </c>
      <c r="C85" s="157" t="s">
        <v>14</v>
      </c>
      <c r="D85" s="157" t="s">
        <v>13</v>
      </c>
      <c r="E85" s="157" t="s">
        <v>12</v>
      </c>
    </row>
    <row r="86" spans="1:5">
      <c r="A86" s="158" t="s">
        <v>307</v>
      </c>
      <c r="B86" s="169">
        <f>B3</f>
        <v>8.893371522929046</v>
      </c>
      <c r="C86" s="169">
        <f>C3</f>
        <v>3.3868829498608224</v>
      </c>
      <c r="D86" s="169">
        <f>D3</f>
        <v>1.7136533253726252</v>
      </c>
      <c r="E86" s="169">
        <f>E3</f>
        <v>1.1101803148461236</v>
      </c>
    </row>
    <row r="87" spans="1:5">
      <c r="A87" s="158" t="s">
        <v>308</v>
      </c>
      <c r="B87" s="169">
        <v>0</v>
      </c>
      <c r="C87" s="169">
        <v>0</v>
      </c>
      <c r="D87" s="169">
        <v>0</v>
      </c>
      <c r="E87" s="169">
        <v>0</v>
      </c>
    </row>
    <row r="88" spans="1:5">
      <c r="A88" s="158" t="s">
        <v>309</v>
      </c>
      <c r="B88" s="169">
        <f>(1-B87)*B86</f>
        <v>8.893371522929046</v>
      </c>
      <c r="C88" s="169">
        <f t="shared" ref="C88:E88" si="21">(1-C87)*C86</f>
        <v>3.3868829498608224</v>
      </c>
      <c r="D88" s="169">
        <f t="shared" si="21"/>
        <v>1.7136533253726252</v>
      </c>
      <c r="E88" s="169">
        <f t="shared" si="21"/>
        <v>1.1101803148461236</v>
      </c>
    </row>
  </sheetData>
  <mergeCells count="8">
    <mergeCell ref="A77:E77"/>
    <mergeCell ref="A84:E84"/>
    <mergeCell ref="A1:E1"/>
    <mergeCell ref="A5:E5"/>
    <mergeCell ref="A13:E13"/>
    <mergeCell ref="A31:E31"/>
    <mergeCell ref="A54:E54"/>
    <mergeCell ref="A70:E70"/>
  </mergeCells>
  <pageMargins left="0.7" right="0.7" top="0.75" bottom="0.75" header="0.3" footer="0.3"/>
  <ignoredErrors>
    <ignoredError sqref="B10:E10 B64:E64 B66:E6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Financial Statements</vt:lpstr>
      <vt:lpstr>Income Statement Standard </vt:lpstr>
      <vt:lpstr>Standardized Income Statement</vt:lpstr>
      <vt:lpstr>Balance Sheet Standard</vt:lpstr>
      <vt:lpstr>Standardized Balance Sheet</vt:lpstr>
      <vt:lpstr>Standard Cash Flows</vt:lpstr>
      <vt:lpstr>Standardized Cash Flows  </vt:lpstr>
      <vt:lpstr>Appendix Statements</vt:lpstr>
      <vt:lpstr>Ratio Analysis</vt:lpstr>
      <vt:lpstr>Revnue Projections</vt:lpstr>
      <vt:lpstr>Forecasts</vt:lpstr>
      <vt:lpstr>Valuation</vt:lpstr>
      <vt:lpstr>Trading Multiples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Sidharth Gupta</cp:lastModifiedBy>
  <dcterms:created xsi:type="dcterms:W3CDTF">2023-07-06T14:16:34Z</dcterms:created>
  <dcterms:modified xsi:type="dcterms:W3CDTF">2024-04-03T10:14:13Z</dcterms:modified>
</cp:coreProperties>
</file>